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media/image7.jpg" ContentType="image/jpg"/>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ocuments\_ 2019 Focus\English OOP-SOF\"/>
    </mc:Choice>
  </mc:AlternateContent>
  <workbookProtection workbookAlgorithmName="SHA-512" workbookHashValue="XD/1f7toLd+md+09t23Z6btLy0IPkpt2gdtD0ueHmgXvKdK9/XuqhAAMPr5+gO1YE8eJoWLeb+pT8xY3qX5P5A==" workbookSaltValue="DYdmviha+9RR1dJUOZ9zYw==" workbookSpinCount="100000" lockStructure="1"/>
  <bookViews>
    <workbookView xWindow="0" yWindow="0" windowWidth="9570" windowHeight="9015" tabRatio="783" firstSheet="3" activeTab="3"/>
  </bookViews>
  <sheets>
    <sheet name="Languages" sheetId="13" state="hidden" r:id="rId1"/>
    <sheet name="Dates &amp; Fees" sheetId="5" state="hidden" r:id="rId2"/>
    <sheet name="Calc Sheet" sheetId="10" state="hidden" r:id="rId3"/>
    <sheet name="Choose Start Date &amp; Duration" sheetId="9" r:id="rId4"/>
    <sheet name="Cost Estimate" sheetId="8" r:id="rId5"/>
    <sheet name="Application" sheetId="1" state="hidden" r:id="rId6"/>
    <sheet name="Application Form" sheetId="12" state="hidden" r:id="rId7"/>
    <sheet name="Offer of Place &amp; Fee Statement" sheetId="6" state="hidden" r:id="rId8"/>
    <sheet name="Statement of Fees" sheetId="15" state="hidden" r:id="rId9"/>
    <sheet name="(OLD) Statement of Fees" sheetId="14" state="hidden" r:id="rId10"/>
    <sheet name="Changes" sheetId="11" state="hidden" r:id="rId11"/>
  </sheets>
  <definedNames>
    <definedName name="Bank_fee">'Dates &amp; Fees'!$G$22</definedName>
    <definedName name="Duration">'Calc Sheet'!$D$17</definedName>
    <definedName name="Expires">'Dates &amp; Fees'!$G$2</definedName>
    <definedName name="Homestay_days">'Calc Sheet'!$D$21</definedName>
    <definedName name="Homestay_pw_Chch_2">'Dates &amp; Fees'!$G$10</definedName>
    <definedName name="Homestay_pw_Chch_3">'Dates &amp; Fees'!$G$11</definedName>
    <definedName name="Homestay_pw_Short_2">'Dates &amp; Fees'!$G$27</definedName>
    <definedName name="Homestay_pw_Short_3">'Dates &amp; Fees'!$G$28</definedName>
    <definedName name="Homestay_pw_Timaru_2">'Dates &amp; Fees'!$G$17</definedName>
    <definedName name="Homestay_pw_Timaru_3">'Dates &amp; Fees'!$G$18</definedName>
    <definedName name="Homestay_weeks">'Calc Sheet'!$D$20</definedName>
    <definedName name="Insurance_fee">'Calc Sheet'!$D$31</definedName>
    <definedName name="Location">'Calc Sheet'!$D$3</definedName>
    <definedName name="Meals">'Calc Sheet'!$D$23</definedName>
    <definedName name="NZCEL">'Dates &amp; Fees'!$F$24</definedName>
    <definedName name="NZCEL_fee">'Dates &amp; Fees'!$G$24</definedName>
    <definedName name="Registration_fee">'Dates &amp; Fees'!$G$5</definedName>
    <definedName name="Selected_insurance">'Calc Sheet'!$D$28</definedName>
    <definedName name="SSL">'Dates &amp; Fees'!$G$6</definedName>
    <definedName name="Three_meals_requested">'Calc Sheet'!$D$22</definedName>
    <definedName name="Tuition_fee">'Dates &amp; Fees'!$G$4</definedName>
    <definedName name="Weekly_insurance">'Dates &amp; Fees'!$D$3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9" l="1"/>
  <c r="F25" i="14"/>
  <c r="H25" i="14" s="1"/>
  <c r="H24" i="14"/>
  <c r="F24" i="14"/>
  <c r="H23" i="14"/>
  <c r="H22" i="14"/>
  <c r="H21" i="14"/>
  <c r="G21" i="14"/>
  <c r="E21" i="14"/>
  <c r="H18" i="14"/>
  <c r="B16" i="14"/>
  <c r="B15" i="14"/>
  <c r="B14" i="14"/>
  <c r="B13" i="14"/>
  <c r="B12" i="14"/>
  <c r="F42" i="14" l="1"/>
  <c r="H27" i="14"/>
  <c r="L5" i="5"/>
  <c r="L6" i="5" s="1"/>
  <c r="L7" i="5" s="1"/>
  <c r="L8" i="5" s="1"/>
  <c r="L9" i="5" s="1"/>
  <c r="L10" i="5" s="1"/>
  <c r="L11" i="5" s="1"/>
  <c r="L12" i="5" s="1"/>
  <c r="L13" i="5" s="1"/>
  <c r="L14" i="5" s="1"/>
  <c r="L15" i="5" s="1"/>
  <c r="L16" i="5" s="1"/>
  <c r="L19" i="5" s="1"/>
  <c r="L20" i="5" s="1"/>
  <c r="L21" i="5" s="1"/>
  <c r="L22" i="5" s="1"/>
  <c r="L23" i="5" s="1"/>
  <c r="L24" i="5" s="1"/>
  <c r="L25" i="5" s="1"/>
  <c r="L26" i="5" s="1"/>
  <c r="L27" i="5" s="1"/>
  <c r="L28" i="5" s="1"/>
  <c r="L29" i="5" s="1"/>
  <c r="L30" i="5" s="1"/>
  <c r="L31" i="5" s="1"/>
  <c r="L32" i="5" s="1"/>
  <c r="L33" i="5" s="1"/>
  <c r="L34" i="5" s="1"/>
  <c r="L35" i="5" s="1"/>
  <c r="L36" i="5" s="1"/>
  <c r="L37" i="5" s="1"/>
  <c r="L38" i="5" s="1"/>
  <c r="L39" i="5" s="1"/>
  <c r="L40" i="5" s="1"/>
  <c r="L41" i="5" s="1"/>
  <c r="L42" i="5" s="1"/>
  <c r="L43" i="5" s="1"/>
  <c r="L44" i="5" s="1"/>
  <c r="L45" i="5" s="1"/>
  <c r="L46" i="5" s="1"/>
  <c r="L47" i="5" s="1"/>
  <c r="L50" i="5" s="1"/>
  <c r="L51" i="5" s="1"/>
  <c r="L52" i="5" s="1"/>
  <c r="L53" i="5" s="1"/>
  <c r="J5" i="5"/>
  <c r="J6" i="5" s="1"/>
  <c r="J7" i="5" s="1"/>
  <c r="J8" i="5" s="1"/>
  <c r="J9" i="5" s="1"/>
  <c r="J10" i="5" s="1"/>
  <c r="J11" i="5" s="1"/>
  <c r="J12" i="5" s="1"/>
  <c r="J13" i="5" s="1"/>
  <c r="J14" i="5" s="1"/>
  <c r="J15" i="5" s="1"/>
  <c r="J16" i="5" s="1"/>
  <c r="J17" i="5" s="1"/>
  <c r="J22" i="5" s="1"/>
  <c r="J23" i="5" s="1"/>
  <c r="J24" i="5" s="1"/>
  <c r="J27" i="5" s="1"/>
  <c r="J28" i="5" s="1"/>
  <c r="J29" i="5" s="1"/>
  <c r="J30" i="5" s="1"/>
  <c r="J31" i="5" s="1"/>
  <c r="G28" i="5"/>
  <c r="G27" i="5"/>
  <c r="G20" i="5" l="1"/>
  <c r="G19" i="5"/>
  <c r="G13" i="5"/>
  <c r="G12" i="5"/>
  <c r="E34" i="9" l="1"/>
  <c r="E35" i="9" s="1"/>
  <c r="C2" i="13" l="1"/>
  <c r="B50" i="13" s="1"/>
  <c r="F22" i="8" s="1"/>
  <c r="D28" i="10"/>
  <c r="D29" i="10" s="1"/>
  <c r="D13" i="10"/>
  <c r="D12" i="10"/>
  <c r="D4" i="10"/>
  <c r="J7" i="8" s="1"/>
  <c r="D3" i="10"/>
  <c r="J55" i="5"/>
  <c r="J56" i="5" s="1"/>
  <c r="J57" i="5" s="1"/>
  <c r="J58" i="5" s="1"/>
  <c r="J59" i="5" s="1"/>
  <c r="J60" i="5" s="1"/>
  <c r="J61" i="5" s="1"/>
  <c r="J62" i="5" s="1"/>
  <c r="J63" i="5" s="1"/>
  <c r="J64" i="5" s="1"/>
  <c r="J65" i="5" s="1"/>
  <c r="J66" i="5" s="1"/>
  <c r="J67" i="5" s="1"/>
  <c r="J68" i="5" s="1"/>
  <c r="J69" i="5" s="1"/>
  <c r="J70" i="5" s="1"/>
  <c r="J71" i="5" s="1"/>
  <c r="J72" i="5" s="1"/>
  <c r="J73" i="5" s="1"/>
  <c r="J74" i="5" s="1"/>
  <c r="J75" i="5" s="1"/>
  <c r="J76" i="5" s="1"/>
  <c r="J77" i="5" s="1"/>
  <c r="J78" i="5" s="1"/>
  <c r="J79" i="5" s="1"/>
  <c r="J80" i="5" s="1"/>
  <c r="L55" i="5"/>
  <c r="L56" i="5" s="1"/>
  <c r="L57" i="5" s="1"/>
  <c r="L58" i="5" s="1"/>
  <c r="L59" i="5" s="1"/>
  <c r="L60" i="5" s="1"/>
  <c r="L61" i="5" s="1"/>
  <c r="L62" i="5" s="1"/>
  <c r="L63" i="5" s="1"/>
  <c r="L64" i="5" s="1"/>
  <c r="L65" i="5" s="1"/>
  <c r="L66" i="5" s="1"/>
  <c r="L67" i="5" s="1"/>
  <c r="L68" i="5" s="1"/>
  <c r="L69" i="5" s="1"/>
  <c r="L70" i="5" s="1"/>
  <c r="L71" i="5" s="1"/>
  <c r="L72" i="5" s="1"/>
  <c r="L73" i="5" s="1"/>
  <c r="L74" i="5" s="1"/>
  <c r="L75" i="5" s="1"/>
  <c r="L76" i="5" s="1"/>
  <c r="L77" i="5" s="1"/>
  <c r="L78" i="5" s="1"/>
  <c r="L79" i="5" s="1"/>
  <c r="L80" i="5" s="1"/>
  <c r="L81" i="5" s="1"/>
  <c r="L82" i="5" s="1"/>
  <c r="L83" i="5" s="1"/>
  <c r="L84" i="5" s="1"/>
  <c r="L85" i="5" s="1"/>
  <c r="L86" i="5" s="1"/>
  <c r="L87" i="5" s="1"/>
  <c r="L88" i="5" s="1"/>
  <c r="L89" i="5" s="1"/>
  <c r="L90" i="5" s="1"/>
  <c r="L91" i="5" s="1"/>
  <c r="L92" i="5" s="1"/>
  <c r="L93" i="5" s="1"/>
  <c r="L94" i="5" s="1"/>
  <c r="L95" i="5" s="1"/>
  <c r="L96" i="5" s="1"/>
  <c r="L97" i="5" s="1"/>
  <c r="L98" i="5" s="1"/>
  <c r="L99" i="5" s="1"/>
  <c r="L100" i="5" s="1"/>
  <c r="L101" i="5" s="1"/>
  <c r="L102" i="5" s="1"/>
  <c r="L103" i="5" s="1"/>
  <c r="J32" i="5"/>
  <c r="J33" i="5" s="1"/>
  <c r="J34" i="5" s="1"/>
  <c r="J35" i="5" s="1"/>
  <c r="J36" i="5" s="1"/>
  <c r="J37" i="5" s="1"/>
  <c r="J38" i="5" s="1"/>
  <c r="J39" i="5" s="1"/>
  <c r="J40" i="5" s="1"/>
  <c r="J41" i="5" s="1"/>
  <c r="J42" i="5" s="1"/>
  <c r="J43" i="5" s="1"/>
  <c r="J44" i="5" s="1"/>
  <c r="J45" i="5" s="1"/>
  <c r="J48" i="5" s="1"/>
  <c r="J49" i="5" s="1"/>
  <c r="J50" i="5" s="1"/>
  <c r="J51" i="5" s="1"/>
  <c r="J52" i="5" s="1"/>
  <c r="J53" i="5" s="1"/>
  <c r="C15" i="8"/>
  <c r="C7" i="8"/>
  <c r="C6" i="8"/>
  <c r="E53" i="6"/>
  <c r="E26" i="6"/>
  <c r="E22" i="6"/>
  <c r="B11" i="6"/>
  <c r="B69" i="6"/>
  <c r="A3" i="1"/>
  <c r="B3" i="8"/>
  <c r="A3" i="9"/>
  <c r="C10" i="8"/>
  <c r="B70" i="6"/>
  <c r="B71" i="6"/>
  <c r="B72" i="6"/>
  <c r="B73" i="6"/>
  <c r="H75" i="6"/>
  <c r="F99" i="6"/>
  <c r="E78" i="6"/>
  <c r="H78" i="6"/>
  <c r="H79" i="6"/>
  <c r="F82" i="6"/>
  <c r="H82" i="6"/>
  <c r="H80" i="6"/>
  <c r="F81" i="6"/>
  <c r="H81" i="6"/>
  <c r="D7" i="5"/>
  <c r="D8" i="5"/>
  <c r="L3" i="8"/>
  <c r="L2" i="8"/>
  <c r="I2" i="9"/>
  <c r="D21" i="10"/>
  <c r="D12" i="8" s="1"/>
  <c r="D20" i="10"/>
  <c r="D8" i="10"/>
  <c r="D7" i="10"/>
  <c r="D19" i="5"/>
  <c r="D18" i="5"/>
  <c r="D17" i="5"/>
  <c r="D16" i="5"/>
  <c r="D15" i="5"/>
  <c r="D14" i="5"/>
  <c r="D13" i="5"/>
  <c r="D12" i="5"/>
  <c r="D11" i="5"/>
  <c r="D10" i="5"/>
  <c r="D9" i="5"/>
  <c r="E20" i="6"/>
  <c r="B15" i="6"/>
  <c r="B14" i="6"/>
  <c r="B13" i="6"/>
  <c r="B12" i="6"/>
  <c r="E21" i="6"/>
  <c r="E44" i="6"/>
  <c r="C4" i="1"/>
  <c r="G78" i="6"/>
  <c r="A9" i="6" l="1"/>
  <c r="E40" i="6" s="1"/>
  <c r="A10" i="14"/>
  <c r="D14" i="10"/>
  <c r="H84" i="6"/>
  <c r="E24" i="6"/>
  <c r="E12" i="8"/>
  <c r="J4" i="10"/>
  <c r="D23" i="10"/>
  <c r="D25" i="10"/>
  <c r="C12" i="8" s="1"/>
  <c r="G12" i="8" s="1"/>
  <c r="E11" i="8"/>
  <c r="D24" i="10"/>
  <c r="C11" i="8" s="1"/>
  <c r="D5" i="10"/>
  <c r="B19" i="13"/>
  <c r="F16" i="9" s="1"/>
  <c r="B22" i="13"/>
  <c r="B13" i="8" s="1"/>
  <c r="B32" i="13"/>
  <c r="B7" i="8" s="1"/>
  <c r="B9" i="13"/>
  <c r="G7" i="9" s="1"/>
  <c r="B43" i="13"/>
  <c r="B15" i="8" s="1"/>
  <c r="B20" i="13"/>
  <c r="G16" i="9" s="1"/>
  <c r="B15" i="13"/>
  <c r="F11" i="9" s="1"/>
  <c r="B37" i="13"/>
  <c r="B10" i="8" s="1"/>
  <c r="B8" i="13"/>
  <c r="C7" i="9" s="1"/>
  <c r="B34" i="13"/>
  <c r="I6" i="8" s="1"/>
  <c r="B48" i="13"/>
  <c r="I18" i="8" s="1"/>
  <c r="B16" i="13"/>
  <c r="B39" i="13"/>
  <c r="I10" i="8" s="1"/>
  <c r="B46" i="13"/>
  <c r="F18" i="8" s="1"/>
  <c r="B14" i="13"/>
  <c r="C13" i="9" s="1"/>
  <c r="B49" i="13"/>
  <c r="C27" i="9" s="1"/>
  <c r="B36" i="13"/>
  <c r="K7" i="8" s="1"/>
  <c r="B27" i="13"/>
  <c r="B42" i="13"/>
  <c r="F12" i="8" s="1"/>
  <c r="B52" i="13"/>
  <c r="B44" i="13"/>
  <c r="I15" i="8" s="1"/>
  <c r="B28" i="13"/>
  <c r="B5" i="8" s="1"/>
  <c r="B51" i="13"/>
  <c r="B35" i="13"/>
  <c r="I7" i="8" s="1"/>
  <c r="B23" i="13"/>
  <c r="F19" i="9" s="1"/>
  <c r="B11" i="13"/>
  <c r="G21" i="9" s="1"/>
  <c r="B30" i="13"/>
  <c r="I5" i="8" s="1"/>
  <c r="B29" i="13"/>
  <c r="G5" i="8" s="1"/>
  <c r="B5" i="13"/>
  <c r="B2" i="9" s="1"/>
  <c r="B2" i="8" s="1"/>
  <c r="B40" i="13"/>
  <c r="B24" i="13"/>
  <c r="C23" i="9" s="1"/>
  <c r="B12" i="13"/>
  <c r="C11" i="9" s="1"/>
  <c r="B47" i="13"/>
  <c r="F20" i="8" s="1"/>
  <c r="B31" i="13"/>
  <c r="B6" i="8" s="1"/>
  <c r="B7" i="13"/>
  <c r="E6" i="9" s="1"/>
  <c r="B38" i="13"/>
  <c r="B11" i="8" s="1"/>
  <c r="B26" i="13"/>
  <c r="K3" i="8" s="1"/>
  <c r="B41" i="13"/>
  <c r="B45" i="13"/>
  <c r="F16" i="8" s="1"/>
  <c r="E10" i="8"/>
  <c r="G10" i="8" s="1"/>
  <c r="A67" i="6"/>
  <c r="B18" i="13"/>
  <c r="C16" i="9" s="1"/>
  <c r="B10" i="13"/>
  <c r="C9" i="9" s="1"/>
  <c r="B13" i="13"/>
  <c r="B21" i="13"/>
  <c r="F17" i="9" s="1"/>
  <c r="B33" i="13"/>
  <c r="B8" i="8" s="1"/>
  <c r="B25" i="13"/>
  <c r="B17" i="13"/>
  <c r="C15" i="9" s="1"/>
  <c r="B6" i="13"/>
  <c r="D15" i="10" l="1"/>
  <c r="D17" i="10" s="1"/>
  <c r="D30" i="10" s="1"/>
  <c r="D31" i="10" s="1"/>
  <c r="G13" i="8" s="1"/>
  <c r="G11" i="8"/>
  <c r="D9" i="10"/>
  <c r="D10" i="10" s="1"/>
  <c r="D18" i="10" s="1"/>
  <c r="L7" i="8" s="1"/>
  <c r="C19" i="9"/>
  <c r="F7" i="8"/>
  <c r="F15" i="9"/>
  <c r="F11" i="8"/>
  <c r="I11" i="8"/>
  <c r="B4" i="8"/>
  <c r="G15" i="9"/>
  <c r="G11" i="9"/>
  <c r="G9" i="9"/>
  <c r="G13" i="9"/>
  <c r="E20" i="9"/>
  <c r="C12" i="9"/>
  <c r="H2" i="9"/>
  <c r="K2" i="8"/>
  <c r="J3" i="10" l="1"/>
  <c r="J8" i="10" s="1"/>
  <c r="I13" i="8"/>
  <c r="E6" i="8"/>
  <c r="G6" i="8" s="1"/>
  <c r="E7" i="8"/>
  <c r="G24" i="6"/>
  <c r="G8" i="8" l="1"/>
  <c r="G7" i="8"/>
  <c r="E27" i="6"/>
  <c r="E15" i="8" l="1"/>
  <c r="G15" i="8" s="1"/>
  <c r="G16" i="8" s="1"/>
  <c r="E28" i="6" s="1"/>
  <c r="G20" i="8" l="1"/>
</calcChain>
</file>

<file path=xl/comments1.xml><?xml version="1.0" encoding="utf-8"?>
<comments xmlns="http://schemas.openxmlformats.org/spreadsheetml/2006/main">
  <authors>
    <author>Tim Hayashi</author>
  </authors>
  <commentList>
    <comment ref="D3" authorId="0" shapeId="0">
      <text>
        <r>
          <rPr>
            <sz val="9"/>
            <color indexed="81"/>
            <rFont val="Tahoma"/>
            <family val="2"/>
          </rPr>
          <t xml:space="preserve">$13.10 per week (2018)
$14.175 per week (2017) </t>
        </r>
      </text>
    </comment>
    <comment ref="G5" authorId="0" shapeId="0">
      <text>
        <r>
          <rPr>
            <b/>
            <sz val="9"/>
            <color indexed="81"/>
            <rFont val="Tahoma"/>
            <family val="2"/>
          </rPr>
          <t>Tim Hayashi:</t>
        </r>
        <r>
          <rPr>
            <sz val="9"/>
            <color indexed="81"/>
            <rFont val="Tahoma"/>
            <family val="2"/>
          </rPr>
          <t xml:space="preserve">
Includes textbook</t>
        </r>
      </text>
    </comment>
    <comment ref="G6" authorId="0" shapeId="0">
      <text>
        <r>
          <rPr>
            <sz val="9"/>
            <color indexed="81"/>
            <rFont val="Tahoma"/>
            <family val="2"/>
          </rPr>
          <t>per week</t>
        </r>
      </text>
    </comment>
    <comment ref="G9" authorId="0" shapeId="0">
      <text>
        <r>
          <rPr>
            <b/>
            <sz val="9"/>
            <color indexed="81"/>
            <rFont val="Tahoma"/>
            <family val="2"/>
          </rPr>
          <t>Tim Hayashi:</t>
        </r>
        <r>
          <rPr>
            <sz val="9"/>
            <color indexed="81"/>
            <rFont val="Tahoma"/>
            <family val="2"/>
          </rPr>
          <t xml:space="preserve">
Includes airport pickup</t>
        </r>
      </text>
    </comment>
    <comment ref="G10" authorId="0" shapeId="0">
      <text>
        <r>
          <rPr>
            <b/>
            <sz val="9"/>
            <color indexed="81"/>
            <rFont val="Tahoma"/>
            <family val="2"/>
          </rPr>
          <t>Tim Hayashi:</t>
        </r>
        <r>
          <rPr>
            <sz val="9"/>
            <color indexed="81"/>
            <rFont val="Tahoma"/>
            <family val="2"/>
          </rPr>
          <t xml:space="preserve">
Two meals a day
</t>
        </r>
      </text>
    </comment>
    <comment ref="G11" authorId="0" shapeId="0">
      <text>
        <r>
          <rPr>
            <b/>
            <sz val="9"/>
            <color indexed="81"/>
            <rFont val="Tahoma"/>
            <family val="2"/>
          </rPr>
          <t>Tim Hayashi:</t>
        </r>
        <r>
          <rPr>
            <sz val="9"/>
            <color indexed="81"/>
            <rFont val="Tahoma"/>
            <family val="2"/>
          </rPr>
          <t xml:space="preserve">
Three meals a day</t>
        </r>
      </text>
    </comment>
    <comment ref="G16" authorId="0" shapeId="0">
      <text>
        <r>
          <rPr>
            <b/>
            <sz val="9"/>
            <color indexed="81"/>
            <rFont val="Tahoma"/>
            <family val="2"/>
          </rPr>
          <t>Tim Hayashi:</t>
        </r>
        <r>
          <rPr>
            <sz val="9"/>
            <color indexed="81"/>
            <rFont val="Tahoma"/>
            <family val="2"/>
          </rPr>
          <t xml:space="preserve">
Includes airport pickup from CHC (does not include transfer to Timaru)</t>
        </r>
      </text>
    </comment>
    <comment ref="G17" authorId="0" shapeId="0">
      <text>
        <r>
          <rPr>
            <b/>
            <sz val="9"/>
            <color indexed="81"/>
            <rFont val="Tahoma"/>
            <family val="2"/>
          </rPr>
          <t>Tim Hayashi:</t>
        </r>
        <r>
          <rPr>
            <sz val="9"/>
            <color indexed="81"/>
            <rFont val="Tahoma"/>
            <family val="2"/>
          </rPr>
          <t xml:space="preserve">
Two meals a day
</t>
        </r>
      </text>
    </comment>
    <comment ref="L17" authorId="0" shapeId="0">
      <text>
        <r>
          <rPr>
            <sz val="9"/>
            <color indexed="81"/>
            <rFont val="Tahoma"/>
            <family val="2"/>
          </rPr>
          <t xml:space="preserve">Good Friday: 10 Apr 2020
</t>
        </r>
      </text>
    </comment>
    <comment ref="G18" authorId="0" shapeId="0">
      <text>
        <r>
          <rPr>
            <b/>
            <sz val="9"/>
            <color indexed="81"/>
            <rFont val="Tahoma"/>
            <family val="2"/>
          </rPr>
          <t>Tim Hayashi:</t>
        </r>
        <r>
          <rPr>
            <sz val="9"/>
            <color indexed="81"/>
            <rFont val="Tahoma"/>
            <family val="2"/>
          </rPr>
          <t xml:space="preserve">
Three meals a day</t>
        </r>
      </text>
    </comment>
    <comment ref="J18" authorId="0" shapeId="0">
      <text>
        <r>
          <rPr>
            <sz val="9"/>
            <color indexed="81"/>
            <rFont val="Tahoma"/>
            <family val="2"/>
          </rPr>
          <t>Easter Monday: 13 Apr 2020 
Ara closed: 14 Apr 2020</t>
        </r>
        <r>
          <rPr>
            <b/>
            <sz val="9"/>
            <color indexed="81"/>
            <rFont val="Tahoma"/>
            <family val="2"/>
          </rPr>
          <t xml:space="preserve">
</t>
        </r>
        <r>
          <rPr>
            <sz val="9"/>
            <color indexed="81"/>
            <rFont val="Tahoma"/>
            <charset val="1"/>
          </rPr>
          <t xml:space="preserve">
</t>
        </r>
      </text>
    </comment>
    <comment ref="J20" authorId="0" shapeId="0">
      <text>
        <r>
          <rPr>
            <sz val="9"/>
            <color indexed="81"/>
            <rFont val="Tahoma"/>
            <family val="2"/>
          </rPr>
          <t xml:space="preserve">ANZAC Day: 27 Apr 2020
</t>
        </r>
      </text>
    </comment>
    <comment ref="J25" authorId="0" shapeId="0">
      <text>
        <r>
          <rPr>
            <sz val="9"/>
            <color indexed="81"/>
            <rFont val="Tahoma"/>
            <family val="2"/>
          </rPr>
          <t xml:space="preserve">Queens Birthday: 1 June 2020
</t>
        </r>
      </text>
    </comment>
    <comment ref="J42" authorId="0" shapeId="0">
      <text>
        <r>
          <rPr>
            <sz val="9"/>
            <color indexed="81"/>
            <rFont val="Tahoma"/>
            <family val="2"/>
          </rPr>
          <t>South Canty Anniversary: 28 Sep 2020</t>
        </r>
      </text>
    </comment>
    <comment ref="J46" authorId="0" shapeId="0">
      <text>
        <r>
          <rPr>
            <sz val="9"/>
            <color indexed="81"/>
            <rFont val="Tahoma"/>
            <family val="2"/>
          </rPr>
          <t>Labour Day:  26 Oct 2020</t>
        </r>
      </text>
    </comment>
    <comment ref="L48" authorId="0" shapeId="0">
      <text>
        <r>
          <rPr>
            <sz val="9"/>
            <color indexed="81"/>
            <rFont val="Tahoma"/>
            <family val="2"/>
          </rPr>
          <t xml:space="preserve">Canty Anniversary Day: 13 Nov 2020
</t>
        </r>
      </text>
    </comment>
  </commentList>
</comments>
</file>

<file path=xl/sharedStrings.xml><?xml version="1.0" encoding="utf-8"?>
<sst xmlns="http://schemas.openxmlformats.org/spreadsheetml/2006/main" count="788" uniqueCount="660">
  <si>
    <t>Date of Issue</t>
  </si>
  <si>
    <t>Address 1</t>
  </si>
  <si>
    <t>Address 2</t>
  </si>
  <si>
    <t>Address 3</t>
  </si>
  <si>
    <t>Address 4</t>
  </si>
  <si>
    <t>Student ID</t>
  </si>
  <si>
    <t>Start Date</t>
  </si>
  <si>
    <t>Duration</t>
  </si>
  <si>
    <t>Insurance</t>
  </si>
  <si>
    <t>13 months</t>
  </si>
  <si>
    <t>Statement of Fees Payable</t>
  </si>
  <si>
    <t>Student ID:</t>
  </si>
  <si>
    <t>Item Description</t>
  </si>
  <si>
    <t>Amount (NZ$)</t>
  </si>
  <si>
    <t>-</t>
  </si>
  <si>
    <t>English Registration Fee</t>
  </si>
  <si>
    <t>Homestay Weekly Charge (2 meals a day)</t>
  </si>
  <si>
    <t>Bank Fee  (if paying by telegraphic transfer)</t>
  </si>
  <si>
    <t>Total Fees (GST inclusive)</t>
  </si>
  <si>
    <t>Payment Due</t>
  </si>
  <si>
    <t>Payment Methods</t>
  </si>
  <si>
    <t xml:space="preserve">Telegraphic Transfer: </t>
  </si>
  <si>
    <t xml:space="preserve">Bank cheque/Bank draft: </t>
  </si>
  <si>
    <t xml:space="preserve">Credit Cards: </t>
  </si>
  <si>
    <t>1F No 6 Lane 20</t>
  </si>
  <si>
    <t>Hsinte Road</t>
  </si>
  <si>
    <t>Taipei 116</t>
  </si>
  <si>
    <t>Taiwan, Province of China</t>
  </si>
  <si>
    <t>1 month</t>
  </si>
  <si>
    <t>2 months</t>
  </si>
  <si>
    <t>3 months</t>
  </si>
  <si>
    <t>4 months</t>
  </si>
  <si>
    <t>5 months</t>
  </si>
  <si>
    <t>6 months</t>
  </si>
  <si>
    <t>7 months</t>
  </si>
  <si>
    <t>8 months</t>
  </si>
  <si>
    <t>9 months</t>
  </si>
  <si>
    <t>10 months</t>
  </si>
  <si>
    <t>11 months</t>
  </si>
  <si>
    <t>12 months</t>
  </si>
  <si>
    <t>Te Waka Ako</t>
  </si>
  <si>
    <t>International Admissions</t>
  </si>
  <si>
    <t>Credit Card Number</t>
  </si>
  <si>
    <t>Amount Paid in NZ$</t>
  </si>
  <si>
    <t>Card holder's name</t>
  </si>
  <si>
    <t>Card holder's signature</t>
  </si>
  <si>
    <t>Credit Card Expiry Date</t>
  </si>
  <si>
    <t>Homestay Placement Fee</t>
  </si>
  <si>
    <t>Start Dates</t>
  </si>
  <si>
    <t>Week</t>
  </si>
  <si>
    <t>Homestay (per week)</t>
  </si>
  <si>
    <t>DOB</t>
  </si>
  <si>
    <t xml:space="preserve">  (choose from dropdown list)</t>
  </si>
  <si>
    <t xml:space="preserve">  (format:  dd/mm/yyyy) </t>
  </si>
  <si>
    <t>Telephone: +64 3 940 8732</t>
  </si>
  <si>
    <t>Facsimile: +64 3 940 8642</t>
  </si>
  <si>
    <t>(Enter all the yellow fields below)</t>
  </si>
  <si>
    <t xml:space="preserve">  (default value:  today's date)</t>
  </si>
  <si>
    <t>Telephone: +64-3-940 8732</t>
  </si>
  <si>
    <t>Facsimile: +64-3-940 8642</t>
  </si>
  <si>
    <t xml:space="preserve">Student ID: </t>
  </si>
  <si>
    <t xml:space="preserve">Student Name: </t>
  </si>
  <si>
    <t>Date of Birth:</t>
  </si>
  <si>
    <t>Path of Study:</t>
  </si>
  <si>
    <t>Method of Study:</t>
  </si>
  <si>
    <t>Admission to G21062V1-English Language Training-4 is conditional upon:</t>
  </si>
  <si>
    <t xml:space="preserve">  - N/A</t>
  </si>
  <si>
    <t>Bank fee</t>
  </si>
  <si>
    <t>Finish Dates</t>
  </si>
  <si>
    <t>Finish Date</t>
  </si>
  <si>
    <t xml:space="preserve"> extra days</t>
  </si>
  <si>
    <t xml:space="preserve"> weeks</t>
  </si>
  <si>
    <t>Homestay placement</t>
  </si>
  <si>
    <t>Homestay (per day)</t>
  </si>
  <si>
    <t>Tuition</t>
  </si>
  <si>
    <t>Homestay fee</t>
  </si>
  <si>
    <t>includes airport pickup</t>
  </si>
  <si>
    <t>if paying by T/T (telegraphic transfer)</t>
  </si>
  <si>
    <t>Subtotal</t>
  </si>
  <si>
    <t>Calculation Sheet</t>
  </si>
  <si>
    <t>Finish Week No.</t>
  </si>
  <si>
    <t>Duration entered?</t>
  </si>
  <si>
    <t>Finish Date entered?</t>
  </si>
  <si>
    <t>(Enter the yellow fields below)</t>
  </si>
  <si>
    <t>Start Week No.</t>
  </si>
  <si>
    <t>Date &amp; Fees</t>
  </si>
  <si>
    <t>Calc Duration</t>
  </si>
  <si>
    <t>Calc Finish Date</t>
  </si>
  <si>
    <t>Insurance fee</t>
  </si>
  <si>
    <t>entered</t>
  </si>
  <si>
    <t>calculated</t>
  </si>
  <si>
    <t>Homestay Week</t>
  </si>
  <si>
    <t>Homestay Days</t>
  </si>
  <si>
    <t>x</t>
  </si>
  <si>
    <t>Total (NZD)</t>
  </si>
  <si>
    <t>Notes</t>
  </si>
  <si>
    <t>Item</t>
  </si>
  <si>
    <t>Exchange rate</t>
  </si>
  <si>
    <t>Error Flag</t>
  </si>
  <si>
    <t>Duration less than 1</t>
  </si>
  <si>
    <t>Homestay days more than 7</t>
  </si>
  <si>
    <t>Error</t>
  </si>
  <si>
    <t xml:space="preserve">Last Updated: </t>
  </si>
  <si>
    <t>(Enter a NZ$ to foreign currency rate)</t>
  </si>
  <si>
    <t>includes textbook</t>
  </si>
  <si>
    <t>Not required</t>
  </si>
  <si>
    <t>Date</t>
  </si>
  <si>
    <t>Note</t>
  </si>
  <si>
    <t>Created</t>
  </si>
  <si>
    <t>Updated 2017, added no insurance option</t>
  </si>
  <si>
    <r>
      <rPr>
        <b/>
        <sz val="11"/>
        <color theme="1"/>
        <rFont val="Calibri"/>
        <family val="2"/>
        <scheme val="minor"/>
      </rPr>
      <t xml:space="preserve">Notes: </t>
    </r>
    <r>
      <rPr>
        <sz val="11"/>
        <color theme="1"/>
        <rFont val="Calibri"/>
        <family val="2"/>
        <scheme val="minor"/>
      </rPr>
      <t xml:space="preserve"> Only update the fields in yellow</t>
    </r>
  </si>
  <si>
    <t>Corrected Homestay Fees ($240 -&gt; $245)</t>
  </si>
  <si>
    <t>Added Checkbox to calculate insurance according to study duration</t>
  </si>
  <si>
    <t>Weekly insurance</t>
  </si>
  <si>
    <t>Final insurance fee</t>
  </si>
  <si>
    <t>from table</t>
  </si>
  <si>
    <t>selected</t>
  </si>
  <si>
    <t>Added Checkbox to select three meal option</t>
  </si>
  <si>
    <t>Three meal option</t>
  </si>
  <si>
    <t>Homestay fee W</t>
  </si>
  <si>
    <t>Homestay fee D</t>
  </si>
  <si>
    <t>Christchurch</t>
  </si>
  <si>
    <t>Timaru</t>
  </si>
  <si>
    <t>International Application Form</t>
  </si>
  <si>
    <t>English Language</t>
  </si>
  <si>
    <t>Apply Now</t>
  </si>
  <si>
    <t>Sheet Name</t>
  </si>
  <si>
    <t>Description</t>
  </si>
  <si>
    <t>Dates &amp; Fees</t>
  </si>
  <si>
    <t>Calc Sheet</t>
  </si>
  <si>
    <t>Choose Start Date &amp; Duration</t>
  </si>
  <si>
    <t>Cost Estimate</t>
  </si>
  <si>
    <t>Offer of Place &amp; Fee Statement</t>
  </si>
  <si>
    <t>Application Form</t>
  </si>
  <si>
    <t>Changes</t>
  </si>
  <si>
    <t>Change History</t>
  </si>
  <si>
    <t>Worksheet Description</t>
  </si>
  <si>
    <t xml:space="preserve">Worksheet to enter all Dates &amp; Fees.  Update every year. </t>
  </si>
  <si>
    <t>Backend worksheet where all the behnd the scene calculation is stored</t>
  </si>
  <si>
    <t>Form which user enters Start Date, Duration, Homestay &amp; Insurance preference</t>
  </si>
  <si>
    <t>Worksheet that shows the cost estimate</t>
  </si>
  <si>
    <t>Hidden</t>
  </si>
  <si>
    <t>No</t>
  </si>
  <si>
    <t>Toggle</t>
  </si>
  <si>
    <t>Capture other information to complete the application</t>
  </si>
  <si>
    <t>Offer of Place &amp; Statement of Fees generated from captured data</t>
  </si>
  <si>
    <t>A form that looks like the application form</t>
  </si>
  <si>
    <t>List of changes and worksheet description  (this file)</t>
  </si>
  <si>
    <t>Email: intladmissions@ara.ac.nz</t>
  </si>
  <si>
    <t>Website: www.ara.ac.nz</t>
  </si>
  <si>
    <t>Ara Institution Code: 6006</t>
  </si>
  <si>
    <r>
      <t xml:space="preserve">been accepted onto the following </t>
    </r>
    <r>
      <rPr>
        <b/>
        <sz val="11"/>
        <color theme="1"/>
        <rFont val="Calibri"/>
        <family val="2"/>
        <scheme val="minor"/>
      </rPr>
      <t>Path of Study</t>
    </r>
    <r>
      <rPr>
        <sz val="11"/>
        <color theme="1"/>
        <rFont val="Calibri"/>
        <family val="2"/>
        <scheme val="minor"/>
      </rPr>
      <t>:</t>
    </r>
  </si>
  <si>
    <t xml:space="preserve">Thank you for your application to study at Ara Institute of Canterbury. We are pleased to inform you that you have </t>
  </si>
  <si>
    <t>G21062V1 - English Language Training - 4</t>
  </si>
  <si>
    <t>Full Time</t>
  </si>
  <si>
    <t>Location of Study Campus:</t>
  </si>
  <si>
    <t>Duration:</t>
  </si>
  <si>
    <t>Total Fees:</t>
  </si>
  <si>
    <t>(Refer to Atatement of Fees for details)</t>
  </si>
  <si>
    <t>*Mainstream fees are payable annually</t>
  </si>
  <si>
    <t>Total Fees Paid:</t>
  </si>
  <si>
    <t>Receipt number:</t>
  </si>
  <si>
    <t>Preiod of payment:</t>
  </si>
  <si>
    <t>Agent:</t>
  </si>
  <si>
    <t>Requirements/Conditions:</t>
  </si>
  <si>
    <t xml:space="preserve">Please respond to this offer by </t>
  </si>
  <si>
    <t>Fees for future study are indicative only</t>
  </si>
  <si>
    <t xml:space="preserve">Ara decleares that an assessment of </t>
  </si>
  <si>
    <t>Pastoral Care for International Students ( Sections 6 and 7.1 )</t>
  </si>
  <si>
    <t xml:space="preserve">Yours Sincerely, </t>
  </si>
  <si>
    <t xml:space="preserve">Note:  Please present the original copies of your passport, academic transricpt and IELTS (if applicable) at the </t>
  </si>
  <si>
    <t xml:space="preserve">time of enrolment.  Education (Pastoral Care of International students) Code of </t>
  </si>
  <si>
    <t>Name of staff</t>
  </si>
  <si>
    <t>International Admissions Representative</t>
  </si>
  <si>
    <t>Join us on Facebook:  www.facebook.com/AraInternational</t>
  </si>
  <si>
    <t>Email:  intladmissions@ara.ac.nz</t>
  </si>
  <si>
    <t>Website:  www.ara.ac.nz</t>
  </si>
  <si>
    <t>G21062V1 English Language Training 4</t>
  </si>
  <si>
    <t>Insurance Fee</t>
  </si>
  <si>
    <t>Immediately</t>
  </si>
  <si>
    <t>Ara Institute of Canterbury</t>
  </si>
  <si>
    <t xml:space="preserve">is not made, your place may be given to another student. Additional course related costs (textbooks and other items) are not included in this Statement of </t>
  </si>
  <si>
    <t>Fees.  If you are applying for a visa from overseas, please ensure that your fees are paid in advance to allow sufficient time for your visa to be processed.</t>
  </si>
  <si>
    <t>(Please send transfer details to Ara)</t>
  </si>
  <si>
    <t>Bank of New Zealand</t>
  </si>
  <si>
    <t>114 Fitzerald Ave, Linwood, Christchurch 8011, New Zealand</t>
  </si>
  <si>
    <t>Account No.  02-0800-0911670-00</t>
  </si>
  <si>
    <t>REFERENCE:</t>
  </si>
  <si>
    <t>SWIFT Code:  BKNZNZ22800</t>
  </si>
  <si>
    <t>Made to "Ara Institute of Canterbury" (must be in NZ Dollars)</t>
  </si>
  <si>
    <t>Please enter credit card details below</t>
  </si>
  <si>
    <t>Note:</t>
  </si>
  <si>
    <t>Please visit the following link to download the international Pre-departure guide</t>
  </si>
  <si>
    <t>blah blah blah</t>
  </si>
  <si>
    <t xml:space="preserve">Form Expires: </t>
  </si>
  <si>
    <t>Beginning of phase 2 (OOP/SOF)</t>
  </si>
  <si>
    <r>
      <rPr>
        <b/>
        <sz val="11"/>
        <color theme="1"/>
        <rFont val="Calibri"/>
        <family val="2"/>
        <scheme val="minor"/>
      </rPr>
      <t>Tuition</t>
    </r>
    <r>
      <rPr>
        <sz val="11"/>
        <color theme="1"/>
        <rFont val="Calibri"/>
        <family val="2"/>
        <scheme val="minor"/>
      </rPr>
      <t xml:space="preserve"> (per week)</t>
    </r>
  </si>
  <si>
    <t>Perosonal Details</t>
  </si>
  <si>
    <t>Legal family name</t>
  </si>
  <si>
    <t>Legal given name(s)</t>
  </si>
  <si>
    <t>Liang</t>
  </si>
  <si>
    <t>En Chi</t>
  </si>
  <si>
    <t>Title</t>
  </si>
  <si>
    <t>Gender</t>
  </si>
  <si>
    <t>Previous family name(s)</t>
  </si>
  <si>
    <t>Previous given name(s)</t>
  </si>
  <si>
    <t>Have you previously been enrolled at Ara?</t>
  </si>
  <si>
    <t>OFFER OF PLACE</t>
  </si>
  <si>
    <t xml:space="preserve">participate effectively in  the course, and that the course meets their learning needs, as required by the Code of Practice for the </t>
  </si>
  <si>
    <t xml:space="preserve"> has been undertaken to ensure that they are able to</t>
  </si>
  <si>
    <r>
      <t xml:space="preserve">Note:  </t>
    </r>
    <r>
      <rPr>
        <sz val="9"/>
        <color theme="1"/>
        <rFont val="Calibri"/>
        <family val="2"/>
        <scheme val="minor"/>
      </rPr>
      <t>Playment is required by the due date stated on this Statement of Fees.  Payment must be made in full to secure your place in a course. If payment</t>
    </r>
  </si>
  <si>
    <t>Attention:  International</t>
  </si>
  <si>
    <t>So on and so on…</t>
  </si>
  <si>
    <t>After all data is entered…</t>
  </si>
  <si>
    <t>:</t>
  </si>
  <si>
    <t>Added Macros to unhide Worksheets at each step</t>
  </si>
  <si>
    <t>Format OOP/SOF to look like the Tribal version</t>
  </si>
  <si>
    <t>After selections are made, click here to…</t>
  </si>
  <si>
    <t>Simplified cost calculator for 2018</t>
  </si>
  <si>
    <t>Location</t>
  </si>
  <si>
    <t>*</t>
  </si>
  <si>
    <t>default unticked</t>
  </si>
  <si>
    <t>default ticked</t>
  </si>
  <si>
    <t>Meal option</t>
  </si>
  <si>
    <t>Calculate</t>
  </si>
  <si>
    <t xml:space="preserve">http://ara.international.ac.nz/dates-and-fees </t>
  </si>
  <si>
    <t>Updated Insurance cost from $14.175 to $13.10 per week</t>
  </si>
  <si>
    <t>Updated dates &amp; fees for 2019</t>
  </si>
  <si>
    <t>Administration fee</t>
  </si>
  <si>
    <t>Student Services Levy</t>
  </si>
  <si>
    <t>NZCEL</t>
  </si>
  <si>
    <t>Select language</t>
  </si>
  <si>
    <t xml:space="preserve">Language Options </t>
  </si>
  <si>
    <t>Message</t>
  </si>
  <si>
    <t>English</t>
  </si>
  <si>
    <t>Japanese</t>
  </si>
  <si>
    <t>Korean</t>
  </si>
  <si>
    <t>Spanish</t>
  </si>
  <si>
    <t>Portuguese</t>
  </si>
  <si>
    <t>中文1</t>
  </si>
  <si>
    <t>中文2</t>
  </si>
  <si>
    <t>中文3</t>
  </si>
  <si>
    <t>中文4</t>
  </si>
  <si>
    <t>中文5</t>
  </si>
  <si>
    <t>中文6</t>
  </si>
  <si>
    <t>中文7</t>
  </si>
  <si>
    <t>中文8</t>
  </si>
  <si>
    <t>中文9</t>
  </si>
  <si>
    <t>中文10</t>
  </si>
  <si>
    <t>中文11</t>
  </si>
  <si>
    <t>中文12</t>
  </si>
  <si>
    <t>中文13</t>
  </si>
  <si>
    <t>中文14</t>
  </si>
  <si>
    <t>中文15</t>
  </si>
  <si>
    <t>中文16</t>
  </si>
  <si>
    <t>中文17</t>
  </si>
  <si>
    <t>中文18</t>
  </si>
  <si>
    <t>中文19</t>
  </si>
  <si>
    <t>中文20</t>
  </si>
  <si>
    <t>中文21</t>
  </si>
  <si>
    <t>中文22</t>
  </si>
  <si>
    <t>中文23</t>
  </si>
  <si>
    <t>中文24</t>
  </si>
  <si>
    <t>中文25</t>
  </si>
  <si>
    <t>中文26</t>
  </si>
  <si>
    <t>中文27</t>
  </si>
  <si>
    <t>中文28</t>
  </si>
  <si>
    <t>中文29</t>
  </si>
  <si>
    <t>中文30</t>
  </si>
  <si>
    <t>中文31</t>
  </si>
  <si>
    <t>中文32</t>
  </si>
  <si>
    <t>中文33</t>
  </si>
  <si>
    <t>中文34</t>
  </si>
  <si>
    <t>中文35</t>
  </si>
  <si>
    <t>中文36</t>
  </si>
  <si>
    <t>中文37</t>
  </si>
  <si>
    <t>中文38</t>
  </si>
  <si>
    <t>中文39</t>
  </si>
  <si>
    <t>中文40</t>
  </si>
  <si>
    <t>中文41</t>
  </si>
  <si>
    <t>中文42</t>
  </si>
  <si>
    <t>中文43</t>
  </si>
  <si>
    <t>中文44</t>
  </si>
  <si>
    <t>中文45</t>
  </si>
  <si>
    <t>開始日</t>
  </si>
  <si>
    <t>キャンパス</t>
  </si>
  <si>
    <t>Version</t>
  </si>
  <si>
    <t>バージョン</t>
  </si>
  <si>
    <t>0.</t>
  </si>
  <si>
    <t>1.</t>
  </si>
  <si>
    <t>2.</t>
  </si>
  <si>
    <t>3.</t>
  </si>
  <si>
    <t>4.</t>
  </si>
  <si>
    <t>Campus</t>
  </si>
  <si>
    <t>Homestay</t>
  </si>
  <si>
    <t>Chinese (Simplified)</t>
  </si>
  <si>
    <t>Chinese (Traditional)</t>
  </si>
  <si>
    <t>Thai</t>
  </si>
  <si>
    <t>Vietnamese</t>
  </si>
  <si>
    <t>Thai1</t>
  </si>
  <si>
    <t>Thai2</t>
  </si>
  <si>
    <t>Thai3</t>
  </si>
  <si>
    <t>Thai4</t>
  </si>
  <si>
    <t>Thai5</t>
  </si>
  <si>
    <t>Thai6</t>
  </si>
  <si>
    <t>Thai7</t>
  </si>
  <si>
    <t>Thai8</t>
  </si>
  <si>
    <t>Thai9</t>
  </si>
  <si>
    <t>Thai10</t>
  </si>
  <si>
    <t>Thai11</t>
  </si>
  <si>
    <t>Thai12</t>
  </si>
  <si>
    <t>Thai13</t>
  </si>
  <si>
    <t>Thai14</t>
  </si>
  <si>
    <t>Thai15</t>
  </si>
  <si>
    <t>Thai16</t>
  </si>
  <si>
    <t>Thai17</t>
  </si>
  <si>
    <t>Thai18</t>
  </si>
  <si>
    <t>Thai19</t>
  </si>
  <si>
    <t>Thai20</t>
  </si>
  <si>
    <t>Thai21</t>
  </si>
  <si>
    <t>Thai22</t>
  </si>
  <si>
    <t>Thai23</t>
  </si>
  <si>
    <t>Thai24</t>
  </si>
  <si>
    <t>Thai25</t>
  </si>
  <si>
    <t>Thai26</t>
  </si>
  <si>
    <t>Thai27</t>
  </si>
  <si>
    <t>Thai28</t>
  </si>
  <si>
    <t>Thai29</t>
  </si>
  <si>
    <t>Thai30</t>
  </si>
  <si>
    <t>Thai31</t>
  </si>
  <si>
    <t>Thai32</t>
  </si>
  <si>
    <t>Thai33</t>
  </si>
  <si>
    <t>Thai34</t>
  </si>
  <si>
    <t>Thai35</t>
  </si>
  <si>
    <t>Thai36</t>
  </si>
  <si>
    <t>Thai37</t>
  </si>
  <si>
    <t>Thai38</t>
  </si>
  <si>
    <t>Thai39</t>
  </si>
  <si>
    <t>Thai40</t>
  </si>
  <si>
    <t>Thai41</t>
  </si>
  <si>
    <t>Thai42</t>
  </si>
  <si>
    <t>Thai43</t>
  </si>
  <si>
    <t>Thai44</t>
  </si>
  <si>
    <t>Thai45</t>
  </si>
  <si>
    <t>Thai46</t>
  </si>
  <si>
    <t>Vietnamese1</t>
  </si>
  <si>
    <t>Vietnamese2</t>
  </si>
  <si>
    <t>Vietnamese3</t>
  </si>
  <si>
    <t>Vietnamese4</t>
  </si>
  <si>
    <t>Vietnamese5</t>
  </si>
  <si>
    <t>Vietnamese6</t>
  </si>
  <si>
    <t>Vietnamese7</t>
  </si>
  <si>
    <t>Vietnamese8</t>
  </si>
  <si>
    <t>Vietnamese9</t>
  </si>
  <si>
    <t>Vietnamese10</t>
  </si>
  <si>
    <t>Vietnamese11</t>
  </si>
  <si>
    <t>Vietnamese12</t>
  </si>
  <si>
    <t>Vietnamese13</t>
  </si>
  <si>
    <t>Vietnamese14</t>
  </si>
  <si>
    <t>Vietnamese15</t>
  </si>
  <si>
    <t>Vietnamese16</t>
  </si>
  <si>
    <t>Vietnamese17</t>
  </si>
  <si>
    <t>Vietnamese18</t>
  </si>
  <si>
    <t>Vietnamese19</t>
  </si>
  <si>
    <t>Vietnamese20</t>
  </si>
  <si>
    <t>Vietnamese21</t>
  </si>
  <si>
    <t>Vietnamese22</t>
  </si>
  <si>
    <t>Vietnamese23</t>
  </si>
  <si>
    <t>Vietnamese24</t>
  </si>
  <si>
    <t>Vietnamese25</t>
  </si>
  <si>
    <t>Vietnamese26</t>
  </si>
  <si>
    <t>Vietnamese27</t>
  </si>
  <si>
    <t>Vietnamese28</t>
  </si>
  <si>
    <t>Vietnamese29</t>
  </si>
  <si>
    <t>Vietnamese30</t>
  </si>
  <si>
    <t>Vietnamese31</t>
  </si>
  <si>
    <t>Vietnamese32</t>
  </si>
  <si>
    <t>Vietnamese33</t>
  </si>
  <si>
    <t>Vietnamese34</t>
  </si>
  <si>
    <t>Vietnamese35</t>
  </si>
  <si>
    <t>Vietnamese36</t>
  </si>
  <si>
    <t>Vietnamese37</t>
  </si>
  <si>
    <t>Vietnamese38</t>
  </si>
  <si>
    <t>Vietnamese39</t>
  </si>
  <si>
    <t>Vietnamese40</t>
  </si>
  <si>
    <t>Vietnamese41</t>
  </si>
  <si>
    <t>Vietnamese42</t>
  </si>
  <si>
    <t>Vietnamese43</t>
  </si>
  <si>
    <t>Vietnamese44</t>
  </si>
  <si>
    <t>Vietnamese45</t>
  </si>
  <si>
    <t>Vietnamese46</t>
  </si>
  <si>
    <t>（クライストチャーチまたはティマル）</t>
  </si>
  <si>
    <t>School of English - Cost Calculator</t>
  </si>
  <si>
    <t>英語科 - コスト計算表</t>
  </si>
  <si>
    <t xml:space="preserve">Selected language:  </t>
  </si>
  <si>
    <t>No.</t>
  </si>
  <si>
    <t>コース開始日</t>
  </si>
  <si>
    <t>（下記 空欄を記入してください）</t>
  </si>
  <si>
    <t>（リストから お選びください）</t>
  </si>
  <si>
    <t>or</t>
  </si>
  <si>
    <t>期間</t>
  </si>
  <si>
    <t>または</t>
  </si>
  <si>
    <t>コース終了日</t>
  </si>
  <si>
    <t>週間</t>
  </si>
  <si>
    <t>（最短 4週間）</t>
  </si>
  <si>
    <t>ホームステイ</t>
  </si>
  <si>
    <t>(2 meals a day)</t>
  </si>
  <si>
    <t>（食事 2食付き）</t>
  </si>
  <si>
    <t>追加日数</t>
  </si>
  <si>
    <t>Added language menu</t>
  </si>
  <si>
    <t>Languages</t>
  </si>
  <si>
    <t>List of messages in different languages</t>
  </si>
  <si>
    <t>（オプショナル）</t>
  </si>
  <si>
    <t>Tick this box for a three meal option (lunch included)</t>
  </si>
  <si>
    <t>3食付きを希望の場合は ここをチェック</t>
  </si>
  <si>
    <t>医療・海外旅行保険</t>
  </si>
  <si>
    <t>Organise insurance based on study duration (Default)</t>
  </si>
  <si>
    <t>コース期間に合わせて保険に加入</t>
  </si>
  <si>
    <t>計算</t>
  </si>
  <si>
    <t>すべての項目を記入したら ここをクリック</t>
  </si>
  <si>
    <t xml:space="preserve"> (Choose Christchurch or Timaru)</t>
  </si>
  <si>
    <t xml:space="preserve"> (Choose from dropdown list)</t>
  </si>
  <si>
    <t xml:space="preserve"> (Minimum 4 weeks)</t>
  </si>
  <si>
    <t xml:space="preserve"> (optional)</t>
  </si>
  <si>
    <t>Last Updated</t>
  </si>
  <si>
    <t>更新日</t>
  </si>
  <si>
    <t>概算見積もり</t>
  </si>
  <si>
    <t>費用明細</t>
  </si>
  <si>
    <t>小計</t>
  </si>
  <si>
    <t>備考</t>
  </si>
  <si>
    <t>Student services levy</t>
  </si>
  <si>
    <t>事務手数料</t>
  </si>
  <si>
    <t>授業料</t>
  </si>
  <si>
    <t>学生サービス費</t>
  </si>
  <si>
    <t>教材費 含む</t>
  </si>
  <si>
    <t>Start:</t>
  </si>
  <si>
    <t>Finish:</t>
  </si>
  <si>
    <t>終了日</t>
  </si>
  <si>
    <t>Homestay placement fee</t>
  </si>
  <si>
    <t>ホームステイ手配料</t>
  </si>
  <si>
    <t>ホームステイ費用</t>
  </si>
  <si>
    <t>空港出迎え 含め</t>
  </si>
  <si>
    <t>includes</t>
  </si>
  <si>
    <t>毎日</t>
  </si>
  <si>
    <t>食 含む</t>
  </si>
  <si>
    <t>days</t>
  </si>
  <si>
    <t>日</t>
  </si>
  <si>
    <t>銀行手数料</t>
  </si>
  <si>
    <t>海外送金で支払う場合に追加</t>
  </si>
  <si>
    <t>合計 (NZ$)</t>
  </si>
  <si>
    <t>Foreign currency</t>
  </si>
  <si>
    <t>為替レート</t>
  </si>
  <si>
    <t>外国通貨 合計</t>
  </si>
  <si>
    <t>（NZ$の為替レートを入力）</t>
  </si>
  <si>
    <t>Latest version:</t>
  </si>
  <si>
    <t>最新バージョン</t>
  </si>
  <si>
    <t>meals a day</t>
  </si>
  <si>
    <t>英语语言学校 - 学杂费计算器</t>
  </si>
  <si>
    <t>版本</t>
  </si>
  <si>
    <t>请在下面黄色的表格里填写</t>
  </si>
  <si>
    <t>校区</t>
  </si>
  <si>
    <t xml:space="preserve"> (选择基督城校区或蒂马鲁校区)</t>
  </si>
  <si>
    <t>开学日期</t>
  </si>
  <si>
    <t xml:space="preserve"> (从下拉式列表里选择)</t>
  </si>
  <si>
    <t>或者</t>
  </si>
  <si>
    <t>结束日期</t>
  </si>
  <si>
    <t xml:space="preserve"> 周</t>
  </si>
  <si>
    <t xml:space="preserve"> 最短 4 周</t>
  </si>
  <si>
    <t>寄宿家庭费</t>
  </si>
  <si>
    <t>(每天提供两餐)</t>
  </si>
  <si>
    <t>额外的天数</t>
  </si>
  <si>
    <t xml:space="preserve"> (如果有)</t>
  </si>
  <si>
    <t>请在这里打勾如果需要每天提供三餐（包括午餐）</t>
  </si>
  <si>
    <t>医疗和旅行保险</t>
  </si>
  <si>
    <t>在完成所有选项之后，请点击这里…</t>
  </si>
  <si>
    <t>计算</t>
  </si>
  <si>
    <t>上一次更新时间</t>
  </si>
  <si>
    <t>费用估算</t>
  </si>
  <si>
    <t>费用类别</t>
  </si>
  <si>
    <t>小计</t>
  </si>
  <si>
    <t>注释说明</t>
  </si>
  <si>
    <t>报名费</t>
  </si>
  <si>
    <t>学费</t>
  </si>
  <si>
    <t>学生服务税</t>
  </si>
  <si>
    <t>包括课本</t>
  </si>
  <si>
    <t>开始:</t>
  </si>
  <si>
    <t>结束:</t>
  </si>
  <si>
    <t>寄宿家庭安排费</t>
  </si>
  <si>
    <t>包括从机场接机</t>
  </si>
  <si>
    <t>包括</t>
  </si>
  <si>
    <t>餐每天</t>
  </si>
  <si>
    <t>银行费</t>
  </si>
  <si>
    <t>如果通过银行汇款</t>
  </si>
  <si>
    <t>费用总数（新西兰币）</t>
  </si>
  <si>
    <t>汇率</t>
  </si>
  <si>
    <t>人民币</t>
  </si>
  <si>
    <t>(填写新西兰币和人民币的汇率)</t>
  </si>
  <si>
    <t>最新的版本</t>
  </si>
  <si>
    <t>버전</t>
  </si>
  <si>
    <t>(아래의 노란색 필드를 입력 하세요)</t>
  </si>
  <si>
    <t>캠퍼스</t>
  </si>
  <si>
    <t>( 크라이스트처치 or 티마루 선택)</t>
  </si>
  <si>
    <t>시작일</t>
  </si>
  <si>
    <t>(펼치기 항목에서 선택)</t>
  </si>
  <si>
    <t>수업 기간</t>
  </si>
  <si>
    <t>또는</t>
  </si>
  <si>
    <t>종료일</t>
  </si>
  <si>
    <t xml:space="preserve"> 주</t>
  </si>
  <si>
    <t xml:space="preserve"> 최소 4주</t>
  </si>
  <si>
    <t>홈스테이</t>
  </si>
  <si>
    <t>(1일 2식)</t>
  </si>
  <si>
    <t>추가일수</t>
  </si>
  <si>
    <t>(선택사항)</t>
  </si>
  <si>
    <t>1일 3 식을 원하면 여기에 체크 하세요 (점심 포함)</t>
  </si>
  <si>
    <t>보험료</t>
  </si>
  <si>
    <t>학업 기간에 준하여 보험가입(의무사항)</t>
  </si>
  <si>
    <t xml:space="preserve">모든 선택이 끝나면 여기를 클릭 하세요 </t>
  </si>
  <si>
    <t>산출</t>
  </si>
  <si>
    <t>최종 수정</t>
  </si>
  <si>
    <t>예상비용</t>
  </si>
  <si>
    <t>항목</t>
  </si>
  <si>
    <t>소계</t>
  </si>
  <si>
    <t>참고사항</t>
  </si>
  <si>
    <t>등록비</t>
  </si>
  <si>
    <t>수업료</t>
  </si>
  <si>
    <t xml:space="preserve">학생 서비스 부과금 </t>
  </si>
  <si>
    <t>교재 포함</t>
  </si>
  <si>
    <t>시작일:</t>
  </si>
  <si>
    <t>종료일:</t>
  </si>
  <si>
    <t>홈스테이 소개비용</t>
  </si>
  <si>
    <t>홈스테이비용</t>
  </si>
  <si>
    <t>공항 픽업 포함</t>
  </si>
  <si>
    <t>일수</t>
  </si>
  <si>
    <t>은행 수수료</t>
  </si>
  <si>
    <t>전신으로 지불할 경우</t>
  </si>
  <si>
    <t>합계 (NZD)</t>
  </si>
  <si>
    <t>환율</t>
  </si>
  <si>
    <t>원화 환산 금액</t>
  </si>
  <si>
    <t>(NZ 달러를 원화 환산율로 입력하세요)</t>
  </si>
  <si>
    <t>课程长度</t>
  </si>
  <si>
    <t>根据课程的长度来安排保险（默认的方式）</t>
  </si>
  <si>
    <t>这个学杂费计算器只是用来估算所需的费用。
关于具体费用请参照学校发给您的正式录取通知书和学杂费清单为准。</t>
  </si>
  <si>
    <t>中文46</t>
  </si>
  <si>
    <t xml:space="preserve">Note:  This is an estimate only.  
For a final quote please refer to the Statement of Fees. </t>
  </si>
  <si>
    <t>注:  これは概算費用です。
詳しくは Statement of Fees（費用明細）を ご覧ください。</t>
  </si>
  <si>
    <t>영어 학교 비용 산출표</t>
  </si>
  <si>
    <t>1일</t>
  </si>
  <si>
    <t>식 포함</t>
  </si>
  <si>
    <t>Escola de Inglês - Calculadora de Custos</t>
  </si>
  <si>
    <t>Versão</t>
  </si>
  <si>
    <t>(Complete os campos amarelos abaixo)</t>
  </si>
  <si>
    <t>Data de Início</t>
  </si>
  <si>
    <t>Duração</t>
  </si>
  <si>
    <t>ou</t>
  </si>
  <si>
    <t>Data de Término</t>
  </si>
  <si>
    <t>(Mínimo de 4 semanas)</t>
  </si>
  <si>
    <t>Acomodação em Casa de Família</t>
  </si>
  <si>
    <t>(2 refeições por dia)</t>
  </si>
  <si>
    <t>(opcional)</t>
  </si>
  <si>
    <t xml:space="preserve">Click esse quadrinho para opção de três refeições (almoço incluído) </t>
  </si>
  <si>
    <t>Seguro</t>
  </si>
  <si>
    <t>Organizar seguro baseado na duração dos estudos (Padrão)</t>
  </si>
  <si>
    <t>Depois de fazer as seleções, clique aqui para...</t>
  </si>
  <si>
    <t>Calcular</t>
  </si>
  <si>
    <t>Última Atualização</t>
  </si>
  <si>
    <t>Estimativa de Custo</t>
  </si>
  <si>
    <t>Sub-total</t>
  </si>
  <si>
    <t>Anotações</t>
  </si>
  <si>
    <t>Taxa de administração</t>
  </si>
  <si>
    <t>Aulas</t>
  </si>
  <si>
    <t>Taxas de serviços para alunos</t>
  </si>
  <si>
    <t>inclui livro texto</t>
  </si>
  <si>
    <t>Início:</t>
  </si>
  <si>
    <t>Término:</t>
  </si>
  <si>
    <t>Taxa de colocação em Casa de Família</t>
  </si>
  <si>
    <t>Taxa de Acomodação em Casa de Família</t>
  </si>
  <si>
    <t>inclui transfer do aeroporto</t>
  </si>
  <si>
    <t>inclui</t>
  </si>
  <si>
    <t>refeições por dia</t>
  </si>
  <si>
    <t>dias</t>
  </si>
  <si>
    <t>Taxa bancária</t>
  </si>
  <si>
    <t>se estiver pagando por T/T (transfer telegráfico)</t>
  </si>
  <si>
    <t>Total (dólar NZ)</t>
  </si>
  <si>
    <t>Taxa de câmbio</t>
  </si>
  <si>
    <t>Moeda estrangeira</t>
  </si>
  <si>
    <t>(Digite a taxa de câmbio de dólar NZ para moeda estrangeira)</t>
  </si>
  <si>
    <t>Última versão:</t>
  </si>
  <si>
    <t>Nota:  Isto é apenas uma estimativa.   
Para um orçamento final por favor veja o Regulamento de Taxas</t>
  </si>
  <si>
    <t>참고: 이것은 단지 견적일 뿐입니다. 
최종 견적은 수수료 명세서를 참조 하십시오.</t>
  </si>
  <si>
    <t>Escuela de Inglés-Calculador de precios/costos</t>
  </si>
  <si>
    <t>Versión</t>
  </si>
  <si>
    <t>(Ingrese al campo amarillo abajo)</t>
  </si>
  <si>
    <t>Fecha de Inicio</t>
  </si>
  <si>
    <t>Duración</t>
  </si>
  <si>
    <t>ó</t>
  </si>
  <si>
    <t>Fecha de Término</t>
  </si>
  <si>
    <t>(Mínimo 4 semanas)</t>
  </si>
  <si>
    <t>Casa de Familia</t>
  </si>
  <si>
    <t>(2 comidas diarias)</t>
  </si>
  <si>
    <t>Marque este casillero para la opción de tres comidas (almuerzo incluido)</t>
  </si>
  <si>
    <t>Organice el seguro basado en la duración del curso</t>
  </si>
  <si>
    <t>Después de realizar las selecciones, click aquí para….</t>
  </si>
  <si>
    <t>Ultima actualización</t>
  </si>
  <si>
    <t>Costo estimativo</t>
  </si>
  <si>
    <t>item</t>
  </si>
  <si>
    <t>subtotal</t>
  </si>
  <si>
    <t>Notas</t>
  </si>
  <si>
    <t>Tarifa Administrativa</t>
  </si>
  <si>
    <t>Curso</t>
  </si>
  <si>
    <t>Servicio a estudiantes</t>
  </si>
  <si>
    <t>Incluye libros</t>
  </si>
  <si>
    <t>comienzo</t>
  </si>
  <si>
    <t>término</t>
  </si>
  <si>
    <t>Tarifa de Ubicación en Casa de Familia</t>
  </si>
  <si>
    <t>Tarifa de Casa en Familia</t>
  </si>
  <si>
    <t>incluye traslado aeropuerto a la llegada</t>
  </si>
  <si>
    <t>incluye</t>
  </si>
  <si>
    <t>comidas diarias</t>
  </si>
  <si>
    <t>tarifa bancaria</t>
  </si>
  <si>
    <t>si esta pagando via transferencia bancaria</t>
  </si>
  <si>
    <t>Total en NZ dólar</t>
  </si>
  <si>
    <t>Tipo de cambio</t>
  </si>
  <si>
    <t>Moneda extranjera</t>
  </si>
  <si>
    <t>(ingrese una cantidad en NZ dólar para la tarifa en moneda extranjera)</t>
  </si>
  <si>
    <t>Ultima versión</t>
  </si>
  <si>
    <t>Nota: Este es un estimativo solamente.  Para una cotización final referirse al listado de precios</t>
  </si>
  <si>
    <t xml:space="preserve"> (Escolha Christchurch ou Timaru)</t>
  </si>
  <si>
    <t xml:space="preserve"> (Escolha no campo de lista pendente)</t>
  </si>
  <si>
    <t xml:space="preserve"> semanas</t>
  </si>
  <si>
    <t xml:space="preserve"> dias extras </t>
  </si>
  <si>
    <t xml:space="preserve"> (Elija Christchurch ó Timaru)</t>
  </si>
  <si>
    <t xml:space="preserve"> (Seleccione desde la lista desplegable)</t>
  </si>
  <si>
    <t xml:space="preserve"> días extras</t>
  </si>
  <si>
    <t>Homestay less than 4w</t>
  </si>
  <si>
    <t>Different cost for homestay less than 4 weeks</t>
  </si>
  <si>
    <t>3 meals (per week)</t>
  </si>
  <si>
    <t>2 meals (per week)</t>
  </si>
  <si>
    <t>weeks</t>
  </si>
  <si>
    <t>day(s)</t>
  </si>
  <si>
    <t>Optional:  Homestay duration calculator</t>
  </si>
  <si>
    <t xml:space="preserve">    Arrival (Check-in) date</t>
  </si>
  <si>
    <t xml:space="preserve">    Departure (Check-out) date</t>
  </si>
  <si>
    <t xml:space="preserve">    Calculated duration</t>
  </si>
  <si>
    <t>Updated dates &amp; fees for 2020</t>
  </si>
  <si>
    <t>Password</t>
  </si>
  <si>
    <t>roveroveroveyourboat</t>
  </si>
  <si>
    <r>
      <rPr>
        <b/>
        <sz val="13"/>
        <color rgb="FF96C5D8"/>
        <rFont val="Calibri"/>
        <family val="2"/>
      </rPr>
      <t xml:space="preserve">Te Waka Ako
</t>
    </r>
    <r>
      <rPr>
        <b/>
        <sz val="13"/>
        <color rgb="FF0C586E"/>
        <rFont val="Calibri"/>
        <family val="2"/>
      </rPr>
      <t xml:space="preserve">International Admissions
</t>
    </r>
    <r>
      <rPr>
        <sz val="9"/>
        <color rgb="FF000000"/>
        <rFont val="Arial"/>
        <family val="2"/>
      </rPr>
      <t xml:space="preserve">Telephone:+64-3-9408732
</t>
    </r>
    <r>
      <rPr>
        <sz val="9"/>
        <color rgb="FF000000"/>
        <rFont val="Arial"/>
        <family val="2"/>
      </rPr>
      <t xml:space="preserve">Facsimile: +64-3-9408642
</t>
    </r>
    <r>
      <rPr>
        <sz val="9"/>
        <color rgb="FF000000"/>
        <rFont val="Arial"/>
        <family val="2"/>
      </rPr>
      <t xml:space="preserve">Email: intladmissions@ara.ac.nz
</t>
    </r>
    <r>
      <rPr>
        <sz val="9"/>
        <color rgb="FF000000"/>
        <rFont val="Arial"/>
        <family val="2"/>
      </rPr>
      <t xml:space="preserve">Website: www.ara.ac.nz
</t>
    </r>
    <r>
      <rPr>
        <b/>
        <sz val="10"/>
        <color rgb="FF000000"/>
        <rFont val="Arial"/>
        <family val="2"/>
      </rPr>
      <t xml:space="preserve">Ara Institution Code: 6006
</t>
    </r>
    <r>
      <rPr>
        <sz val="10"/>
        <color rgb="FF000000"/>
        <rFont val="Arial"/>
        <family val="2"/>
      </rPr>
      <t xml:space="preserve">18 July 2019
</t>
    </r>
  </si>
  <si>
    <r>
      <rPr>
        <sz val="10"/>
        <color rgb="FF000000"/>
        <rFont val="Arial"/>
        <family val="2"/>
      </rPr>
      <t xml:space="preserve">        </t>
    </r>
    <r>
      <rPr>
        <sz val="10"/>
        <color rgb="FF000000"/>
        <rFont val="Arial"/>
        <family val="2"/>
      </rPr>
      <t>Ryota</t>
    </r>
    <r>
      <rPr>
        <sz val="10"/>
        <color rgb="FF000000"/>
        <rFont val="Arial"/>
        <family val="2"/>
      </rPr>
      <t xml:space="preserve"> </t>
    </r>
    <r>
      <rPr>
        <sz val="10"/>
        <color rgb="FF000000"/>
        <rFont val="Arial"/>
        <family val="2"/>
      </rPr>
      <t xml:space="preserve">Iwasaki
</t>
    </r>
    <r>
      <rPr>
        <sz val="10"/>
        <color rgb="FF000000"/>
        <rFont val="Arial"/>
        <family val="2"/>
      </rPr>
      <t xml:space="preserve">        </t>
    </r>
    <r>
      <rPr>
        <sz val="10"/>
        <color rgb="FF000000"/>
        <rFont val="Arial"/>
        <family val="2"/>
      </rPr>
      <t xml:space="preserve">2268-8 Ichinomoto-cho
        Tenri-shi
        Nara 6320004
        Japan
</t>
    </r>
  </si>
  <si>
    <r>
      <rPr>
        <b/>
        <sz val="10"/>
        <color rgb="FF000000"/>
        <rFont val="Arial"/>
        <family val="2"/>
      </rPr>
      <t xml:space="preserve">Student ID: </t>
    </r>
    <r>
      <rPr>
        <b/>
        <sz val="10"/>
        <color rgb="FF000000"/>
        <rFont val="Arial"/>
        <family val="2"/>
      </rPr>
      <t>99212814</t>
    </r>
  </si>
  <si>
    <t>Amount (NZD$)</t>
  </si>
  <si>
    <r>
      <rPr>
        <sz val="10"/>
        <color rgb="FF000000"/>
        <rFont val="Arial"/>
        <family val="2"/>
      </rPr>
      <t>G21062V1 English Language Training 4</t>
    </r>
    <r>
      <rPr>
        <sz val="10"/>
        <color rgb="FF000000"/>
        <rFont val="Arial"/>
        <family val="2"/>
      </rPr>
      <t xml:space="preserve"> </t>
    </r>
    <r>
      <rPr>
        <sz val="10"/>
        <color rgb="FF000000"/>
        <rFont val="Arial"/>
        <family val="2"/>
      </rPr>
      <t>28/10/19</t>
    </r>
    <r>
      <rPr>
        <sz val="10"/>
        <color rgb="FF000000"/>
        <rFont val="Arial"/>
        <family val="2"/>
      </rPr>
      <t xml:space="preserve"> - </t>
    </r>
    <r>
      <rPr>
        <sz val="10"/>
        <color rgb="FF000000"/>
        <rFont val="Arial"/>
        <family val="2"/>
      </rPr>
      <t>28/02/20</t>
    </r>
  </si>
  <si>
    <t>Student Levy Fee</t>
  </si>
  <si>
    <r>
      <rPr>
        <sz val="10"/>
        <color rgb="FF000000"/>
        <rFont val="Arial"/>
        <family val="2"/>
      </rPr>
      <t>Homestay Fee (</t>
    </r>
    <r>
      <rPr>
        <sz val="10"/>
        <color rgb="FF000000"/>
        <rFont val="Arial"/>
        <family val="2"/>
      </rPr>
      <t>18</t>
    </r>
    <r>
      <rPr>
        <sz val="10"/>
        <color rgb="FF000000"/>
        <rFont val="Arial"/>
        <family val="2"/>
      </rPr>
      <t xml:space="preserve"> weeks)</t>
    </r>
  </si>
  <si>
    <t>Placement Fee</t>
  </si>
  <si>
    <t>Bank Fee</t>
  </si>
  <si>
    <r>
      <rPr>
        <b/>
        <sz val="7"/>
        <color rgb="FF000000"/>
        <rFont val="Arial"/>
        <family val="2"/>
      </rPr>
      <t xml:space="preserve">Note: </t>
    </r>
    <r>
      <rPr>
        <sz val="7"/>
        <color rgb="FF000000"/>
        <rFont val="Arial"/>
        <family val="2"/>
      </rPr>
      <t xml:space="preserve">Payment is required by the due date stated on this Statement of Fees.  Payment must be made in full to secure your place in a course.  If payment is not made, your place may be given to another student.  Additional course related costs (textbooks and other items) are not included in this Statement of Fees. 
</t>
    </r>
    <r>
      <rPr>
        <sz val="7"/>
        <color rgb="FF000000"/>
        <rFont val="Arial"/>
        <family val="2"/>
      </rPr>
      <t xml:space="preserve">If you are applying for a visa from overseas, please ensure that your fees are paid in advance to allow sufficient time for your visa to be processed. 
</t>
    </r>
    <r>
      <rPr>
        <b/>
        <sz val="7"/>
        <color rgb="FF000000"/>
        <rFont val="Arial"/>
        <family val="2"/>
      </rPr>
      <t>All fees are quoted in New Zealand dollars and are correct at the time of printing, but may be subject to change without prior notice.</t>
    </r>
    <r>
      <rPr>
        <sz val="7"/>
        <color rgb="FF000000"/>
        <rFont val="Arial"/>
        <family val="2"/>
      </rPr>
      <t>   The tuition fees will increase if a student enrols in more than a full-time standard programme. The fees are assessed each year and fees stated are only applicable to the period contained in this statement of fees.  The fees are subject to change without notice pending any fee increases which are set for each academic year.</t>
    </r>
  </si>
  <si>
    <r>
      <rPr>
        <b/>
        <sz val="10"/>
        <color rgb="FF000000"/>
        <rFont val="Arial"/>
        <family val="2"/>
      </rPr>
      <t xml:space="preserve">Payment Methods
</t>
    </r>
    <r>
      <rPr>
        <b/>
        <sz val="9"/>
        <color rgb="FF000000"/>
        <rFont val="Arial"/>
        <family val="2"/>
      </rPr>
      <t>Telegraphic Transfer:</t>
    </r>
    <r>
      <rPr>
        <sz val="9"/>
        <color rgb="FF000000"/>
        <rFont val="Arial"/>
        <family val="2"/>
      </rPr>
      <t xml:space="preserve"> 
</t>
    </r>
    <r>
      <rPr>
        <i/>
        <sz val="7"/>
        <color rgb="FF000000"/>
        <rFont val="Arial"/>
        <family val="2"/>
      </rPr>
      <t>(Please send transfer details to Ara)</t>
    </r>
    <r>
      <rPr>
        <i/>
        <sz val="9"/>
        <color rgb="FF000000"/>
        <rFont val="Arial"/>
        <family val="2"/>
      </rPr>
      <t xml:space="preserve"> 
</t>
    </r>
    <r>
      <rPr>
        <b/>
        <sz val="9"/>
        <color rgb="FF000000"/>
        <rFont val="Arial"/>
        <family val="2"/>
      </rPr>
      <t xml:space="preserve">Bank cheque/Bank draft:
</t>
    </r>
    <r>
      <rPr>
        <b/>
        <sz val="9"/>
        <color rgb="FF000000"/>
        <rFont val="Arial"/>
        <family val="2"/>
      </rPr>
      <t>Credit Cards</t>
    </r>
    <r>
      <rPr>
        <sz val="9"/>
        <color rgb="FF000000"/>
        <rFont val="Arial"/>
        <family val="2"/>
      </rPr>
      <t>: </t>
    </r>
  </si>
  <si>
    <r>
      <t xml:space="preserve">
</t>
    </r>
    <r>
      <rPr>
        <sz val="9"/>
        <color rgb="FF000000"/>
        <rFont val="Arial"/>
        <family val="2"/>
      </rPr>
      <t xml:space="preserve">Ara Institute of Canterbury
</t>
    </r>
    <r>
      <rPr>
        <sz val="9"/>
        <color rgb="FF000000"/>
        <rFont val="Arial"/>
        <family val="2"/>
      </rPr>
      <t xml:space="preserve">Bank of New Zealand
</t>
    </r>
    <r>
      <rPr>
        <sz val="9"/>
        <color rgb="FF000000"/>
        <rFont val="Arial"/>
        <family val="2"/>
      </rPr>
      <t xml:space="preserve">114 Fitzgerald Ave, Linwood, Christchurch 8011, New Zealand
</t>
    </r>
    <r>
      <rPr>
        <sz val="9"/>
        <color rgb="FF000000"/>
        <rFont val="Arial"/>
        <family val="2"/>
      </rPr>
      <t xml:space="preserve">Account No:  02-0800-0911670-00
</t>
    </r>
    <r>
      <rPr>
        <sz val="9"/>
        <color rgb="FF000000"/>
        <rFont val="Arial"/>
        <family val="2"/>
      </rPr>
      <t xml:space="preserve">Attention:  International
</t>
    </r>
    <r>
      <rPr>
        <b/>
        <sz val="9"/>
        <color rgb="FF000000"/>
        <rFont val="Arial"/>
        <family val="2"/>
      </rPr>
      <t>REFERENCE</t>
    </r>
    <r>
      <rPr>
        <sz val="9"/>
        <color rgb="FF000000"/>
        <rFont val="Arial"/>
        <family val="2"/>
      </rPr>
      <t xml:space="preserve">: </t>
    </r>
    <r>
      <rPr>
        <sz val="9"/>
        <color rgb="FF000000"/>
        <rFont val="Arial"/>
        <family val="2"/>
      </rPr>
      <t>99212814</t>
    </r>
    <r>
      <rPr>
        <sz val="9"/>
        <color rgb="FF000000"/>
        <rFont val="Arial"/>
        <family val="2"/>
      </rPr>
      <t xml:space="preserve"> </t>
    </r>
    <r>
      <rPr>
        <sz val="9"/>
        <color rgb="FF000000"/>
        <rFont val="Arial"/>
        <family val="2"/>
      </rPr>
      <t xml:space="preserve">Ryota Iwasaki
</t>
    </r>
    <r>
      <rPr>
        <b/>
        <sz val="9"/>
        <color rgb="FF000000"/>
        <rFont val="Arial"/>
        <family val="2"/>
      </rPr>
      <t xml:space="preserve">SWIFT Code: BKNZNZ22800
</t>
    </r>
    <r>
      <rPr>
        <sz val="9"/>
        <color rgb="FF000000"/>
        <rFont val="Arial"/>
        <family val="2"/>
      </rPr>
      <t xml:space="preserve">Made to </t>
    </r>
    <r>
      <rPr>
        <b/>
        <sz val="9"/>
        <color rgb="FF000000"/>
        <rFont val="Arial"/>
        <family val="2"/>
      </rPr>
      <t xml:space="preserve">“Ara Institute of Canterbury” </t>
    </r>
    <r>
      <rPr>
        <sz val="9"/>
        <color rgb="FF000000"/>
        <rFont val="Arial"/>
        <family val="2"/>
      </rPr>
      <t xml:space="preserve">(must be in NZ Dollars)
</t>
    </r>
    <r>
      <rPr>
        <sz val="9"/>
        <color rgb="FF000000"/>
        <rFont val="Arial"/>
        <family val="2"/>
      </rPr>
      <t>Please enter credit card details below.</t>
    </r>
  </si>
  <si>
    <r>
      <rPr>
        <b/>
        <sz val="8"/>
        <color rgb="FF000000"/>
        <rFont val="Arial"/>
        <family val="2"/>
      </rPr>
      <t xml:space="preserve">CREDIT CARD DETAILS
</t>
    </r>
    <r>
      <rPr>
        <sz val="8"/>
        <color rgb="FF000000"/>
        <rFont val="Arial"/>
        <family val="2"/>
      </rPr>
      <t xml:space="preserve">CREDIT CARD NUMBER: _______________________________________           CREDIT CARD EXPIRY DATE:  _____/ _____
</t>
    </r>
    <r>
      <rPr>
        <sz val="8"/>
        <color rgb="FF000000"/>
        <rFont val="Arial"/>
        <family val="2"/>
      </rPr>
      <t xml:space="preserve">AMOUNT PAID IN NZD$: _______________________________________
</t>
    </r>
    <r>
      <rPr>
        <sz val="8"/>
        <color rgb="FF000000"/>
        <rFont val="Arial"/>
        <family val="2"/>
      </rPr>
      <t xml:space="preserve">CARD HOLDER'S NAME: ______________________________________
</t>
    </r>
    <r>
      <rPr>
        <sz val="8"/>
        <color rgb="FF000000"/>
        <rFont val="Arial"/>
        <family val="2"/>
      </rPr>
      <t>CARD HOLDERS SIGNATURE: __________________________________</t>
    </r>
  </si>
  <si>
    <r>
      <rPr>
        <b/>
        <sz val="7"/>
        <color rgb="FF000000"/>
        <rFont val="Arial"/>
        <family val="2"/>
      </rPr>
      <t xml:space="preserve">Note:
</t>
    </r>
    <r>
      <rPr>
        <sz val="7"/>
        <color rgb="FF000000"/>
        <rFont val="Arial"/>
        <family val="2"/>
      </rPr>
      <t xml:space="preserve">Please visit the following link to download the International Pre-departure guide </t>
    </r>
    <r>
      <rPr>
        <b/>
        <sz val="7"/>
        <color rgb="FF000000"/>
        <rFont val="Arial"/>
        <family val="2"/>
      </rPr>
      <t>http://www.ara.ac.nz/brochures</t>
    </r>
    <r>
      <rPr>
        <b/>
        <sz val="7"/>
        <color rgb="FF000000"/>
        <rFont val="Arial"/>
        <family val="2"/>
      </rPr>
      <t xml:space="preserve"> </t>
    </r>
    <r>
      <rPr>
        <sz val="7"/>
        <color rgb="FF000000"/>
        <rFont val="Arial"/>
        <family val="2"/>
      </rPr>
      <t xml:space="preserve">which contains all the information you need prior to and upon arrival in New Zealand and Ara. This offer is subject to the Terms &amp; Conditions of Enrolment for International students available at </t>
    </r>
    <r>
      <rPr>
        <b/>
        <sz val="7"/>
        <color rgb="FF000000"/>
        <rFont val="Arial"/>
        <family val="2"/>
      </rPr>
      <t>http://www.ara.ac.nz/study-options/application-and-enrolment/terms-and-conditions</t>
    </r>
    <r>
      <rPr>
        <sz val="7"/>
        <color rgb="FF000000"/>
        <rFont val="Arial"/>
        <family val="2"/>
      </rPr>
      <t xml:space="preserve">. Please read and ensure you have understood the terms &amp; conditions, which are deemed to form part of this offer.
</t>
    </r>
    <r>
      <rPr>
        <b/>
        <sz val="7"/>
        <color rgb="FF000000"/>
        <rFont val="Arial"/>
        <family val="2"/>
      </rPr>
      <t>Visa or Immigration Officer:</t>
    </r>
    <r>
      <rPr>
        <sz val="7"/>
        <color rgb="FF000000"/>
        <rFont val="Arial"/>
        <family val="2"/>
      </rPr>
      <t xml:space="preserve">  The above student has been offered a place at Ara Institute of Canterbury (Ara) for a Path of Study which meets Immigration New Zealand requirements. Ara guarantees accommodation.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</si>
</sst>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1409]d\ mmmm\ yyyy;@"/>
    <numFmt numFmtId="165" formatCode="&quot;$&quot;#,##0"/>
    <numFmt numFmtId="166" formatCode="[$-F800]dddd\,\ mmmm\ dd\,\ yyyy"/>
    <numFmt numFmtId="167" formatCode="d/mm/yyyy;@"/>
    <numFmt numFmtId="168" formatCode="&quot;$&quot;#,##0.00"/>
    <numFmt numFmtId="169" formatCode="_-* #,##0_-;\-* #,##0_-;_-* &quot;-&quot;??_-;_-@_-"/>
    <numFmt numFmtId="170" formatCode="[$-10409]&quot;$&quot;0.00"/>
    <numFmt numFmtId="171" formatCode="[$-10409]&quot;$&quot;0.00;\(&quot;$&quot;0.00\)"/>
  </numFmts>
  <fonts count="48">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0" tint="-0.34998626667073579"/>
      <name val="Calibri"/>
      <family val="2"/>
      <scheme val="minor"/>
    </font>
    <font>
      <sz val="10"/>
      <color theme="1"/>
      <name val="Calibri"/>
      <family val="2"/>
      <scheme val="minor"/>
    </font>
    <font>
      <b/>
      <u/>
      <sz val="11"/>
      <color theme="1"/>
      <name val="Calibri"/>
      <family val="2"/>
      <scheme val="minor"/>
    </font>
    <font>
      <u/>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14"/>
      <color theme="1"/>
      <name val="Calibri"/>
      <family val="2"/>
      <scheme val="minor"/>
    </font>
    <font>
      <sz val="8"/>
      <color theme="1"/>
      <name val="Calibri"/>
      <family val="2"/>
      <scheme val="minor"/>
    </font>
    <font>
      <sz val="9"/>
      <color indexed="81"/>
      <name val="Tahoma"/>
      <family val="2"/>
    </font>
    <font>
      <b/>
      <sz val="9"/>
      <color indexed="81"/>
      <name val="Tahoma"/>
      <family val="2"/>
    </font>
    <font>
      <sz val="9"/>
      <color theme="1"/>
      <name val="Calibri"/>
      <family val="2"/>
      <scheme val="minor"/>
    </font>
    <font>
      <sz val="11"/>
      <color rgb="FFFF0000"/>
      <name val="Calibri"/>
      <family val="2"/>
      <scheme val="minor"/>
    </font>
    <font>
      <b/>
      <sz val="11"/>
      <color rgb="FFFF0000"/>
      <name val="Calibri"/>
      <family val="2"/>
      <scheme val="minor"/>
    </font>
    <font>
      <sz val="11"/>
      <color rgb="FF000000"/>
      <name val="Calibri"/>
      <family val="2"/>
    </font>
    <font>
      <b/>
      <sz val="9"/>
      <color theme="1"/>
      <name val="Calibri"/>
      <family val="2"/>
      <scheme val="minor"/>
    </font>
    <font>
      <u/>
      <sz val="11"/>
      <color theme="10"/>
      <name val="Calibri"/>
      <family val="2"/>
      <scheme val="minor"/>
    </font>
    <font>
      <sz val="10"/>
      <color theme="0" tint="-0.499984740745262"/>
      <name val="Calibri"/>
      <family val="2"/>
      <scheme val="minor"/>
    </font>
    <font>
      <sz val="11"/>
      <color theme="0" tint="-0.499984740745262"/>
      <name val="Calibri"/>
      <family val="2"/>
      <scheme val="minor"/>
    </font>
    <font>
      <b/>
      <sz val="11"/>
      <color theme="0"/>
      <name val="Calibri"/>
      <family val="2"/>
      <scheme val="minor"/>
    </font>
    <font>
      <sz val="11"/>
      <color rgb="FF212121"/>
      <name val="Inherit"/>
    </font>
    <font>
      <sz val="10"/>
      <color theme="0" tint="-0.34998626667073579"/>
      <name val="Calibri"/>
      <family val="2"/>
      <scheme val="minor"/>
    </font>
    <font>
      <u/>
      <sz val="9"/>
      <color theme="1"/>
      <name val="Calibri"/>
      <family val="2"/>
      <scheme val="minor"/>
    </font>
    <font>
      <b/>
      <sz val="10"/>
      <color theme="1"/>
      <name val="Calibri"/>
      <family val="2"/>
      <scheme val="minor"/>
    </font>
    <font>
      <sz val="11"/>
      <color rgb="FF1F497D"/>
      <name val="DengXian"/>
    </font>
    <font>
      <sz val="11"/>
      <color theme="1"/>
      <name val="MS PGothic"/>
      <family val="2"/>
    </font>
    <font>
      <u/>
      <sz val="11"/>
      <color theme="1"/>
      <name val="MS PGothic"/>
      <family val="2"/>
    </font>
    <font>
      <sz val="9"/>
      <color indexed="81"/>
      <name val="Tahoma"/>
      <charset val="1"/>
    </font>
    <font>
      <sz val="11"/>
      <color rgb="FF00B050"/>
      <name val="Calibri"/>
      <family val="2"/>
      <scheme val="minor"/>
    </font>
    <font>
      <sz val="11"/>
      <color rgb="FF000000"/>
      <name val="Calibri"/>
      <family val="2"/>
      <scheme val="minor"/>
    </font>
    <font>
      <sz val="11"/>
      <name val="Calibri"/>
      <family val="2"/>
    </font>
    <font>
      <b/>
      <sz val="13"/>
      <color rgb="FF96C5D8"/>
      <name val="Calibri"/>
      <family val="2"/>
    </font>
    <font>
      <b/>
      <sz val="13"/>
      <color rgb="FF0C586E"/>
      <name val="Calibri"/>
      <family val="2"/>
    </font>
    <font>
      <sz val="9"/>
      <color rgb="FF000000"/>
      <name val="Arial"/>
      <family val="2"/>
    </font>
    <font>
      <b/>
      <sz val="10"/>
      <color rgb="FF000000"/>
      <name val="Arial"/>
      <family val="2"/>
    </font>
    <font>
      <sz val="10"/>
      <color rgb="FF000000"/>
      <name val="Arial"/>
      <family val="2"/>
    </font>
    <font>
      <b/>
      <sz val="14"/>
      <color rgb="FF000000"/>
      <name val="Arial"/>
      <family val="2"/>
    </font>
    <font>
      <b/>
      <sz val="9"/>
      <color rgb="FF000000"/>
      <name val="Arial"/>
      <family val="2"/>
    </font>
    <font>
      <b/>
      <sz val="7"/>
      <color rgb="FF000000"/>
      <name val="Arial"/>
      <family val="2"/>
    </font>
    <font>
      <sz val="7"/>
      <color rgb="FF000000"/>
      <name val="Arial"/>
      <family val="2"/>
    </font>
    <font>
      <i/>
      <sz val="7"/>
      <color rgb="FF000000"/>
      <name val="Arial"/>
      <family val="2"/>
    </font>
    <font>
      <i/>
      <sz val="9"/>
      <color rgb="FF000000"/>
      <name val="Arial"/>
      <family val="2"/>
    </font>
    <font>
      <b/>
      <sz val="8"/>
      <color rgb="FF000000"/>
      <name val="Arial"/>
      <family val="2"/>
    </font>
    <font>
      <sz val="8"/>
      <color rgb="FF000000"/>
      <name val="Arial"/>
      <family val="2"/>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4">
    <xf numFmtId="0" fontId="0" fillId="0" borderId="0"/>
    <xf numFmtId="43" fontId="8" fillId="0" borderId="0" applyFont="0" applyFill="0" applyBorder="0" applyAlignment="0" applyProtection="0"/>
    <xf numFmtId="0" fontId="20" fillId="0" borderId="0" applyNumberFormat="0" applyFill="0" applyBorder="0" applyAlignment="0" applyProtection="0"/>
    <xf numFmtId="0" fontId="33" fillId="0" borderId="0"/>
  </cellStyleXfs>
  <cellXfs count="251">
    <xf numFmtId="0" fontId="0" fillId="0" borderId="0" xfId="0"/>
    <xf numFmtId="14" fontId="0" fillId="0" borderId="0" xfId="0" applyNumberFormat="1"/>
    <xf numFmtId="0" fontId="0" fillId="0" borderId="0" xfId="0" applyAlignment="1">
      <alignment horizontal="center"/>
    </xf>
    <xf numFmtId="0" fontId="2"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7" xfId="0" applyBorder="1"/>
    <xf numFmtId="0" fontId="0" fillId="0" borderId="8" xfId="0" applyBorder="1"/>
    <xf numFmtId="0" fontId="0" fillId="0" borderId="3" xfId="0" applyBorder="1" applyAlignment="1">
      <alignment horizontal="center"/>
    </xf>
    <xf numFmtId="0" fontId="0" fillId="0" borderId="12" xfId="0" applyBorder="1"/>
    <xf numFmtId="0" fontId="0" fillId="0" borderId="13" xfId="0" applyBorder="1"/>
    <xf numFmtId="165" fontId="0" fillId="0" borderId="11" xfId="0" applyNumberFormat="1" applyBorder="1" applyAlignment="1">
      <alignment horizontal="right" wrapText="1"/>
    </xf>
    <xf numFmtId="0" fontId="0" fillId="0" borderId="6" xfId="0" applyBorder="1"/>
    <xf numFmtId="0" fontId="0" fillId="0" borderId="9" xfId="0" applyBorder="1"/>
    <xf numFmtId="0" fontId="1" fillId="0" borderId="2" xfId="0" applyFont="1" applyBorder="1"/>
    <xf numFmtId="0" fontId="1" fillId="0" borderId="10" xfId="0" applyFont="1" applyBorder="1" applyAlignment="1">
      <alignment horizontal="center"/>
    </xf>
    <xf numFmtId="0" fontId="1" fillId="0" borderId="7" xfId="0" applyFont="1" applyBorder="1"/>
    <xf numFmtId="0" fontId="1" fillId="0" borderId="7" xfId="0" applyFont="1" applyBorder="1" applyAlignment="1">
      <alignment vertical="top"/>
    </xf>
    <xf numFmtId="0" fontId="1" fillId="0" borderId="0" xfId="0" applyFont="1"/>
    <xf numFmtId="0" fontId="3" fillId="0" borderId="0" xfId="0" applyFont="1"/>
    <xf numFmtId="0" fontId="4" fillId="0" borderId="0" xfId="0" applyFont="1"/>
    <xf numFmtId="0" fontId="0" fillId="0" borderId="14" xfId="0" applyBorder="1"/>
    <xf numFmtId="0" fontId="1" fillId="0" borderId="0" xfId="0" applyFont="1" applyAlignment="1">
      <alignment horizontal="right"/>
    </xf>
    <xf numFmtId="0" fontId="0" fillId="4" borderId="0" xfId="0" applyFill="1"/>
    <xf numFmtId="14" fontId="0" fillId="4" borderId="3" xfId="0" applyNumberFormat="1" applyFill="1" applyBorder="1" applyAlignment="1">
      <alignment horizontal="center"/>
    </xf>
    <xf numFmtId="0" fontId="1" fillId="4" borderId="0" xfId="0" applyFont="1" applyFill="1" applyAlignment="1">
      <alignment horizontal="center"/>
    </xf>
    <xf numFmtId="167" fontId="0" fillId="4" borderId="3" xfId="0" applyNumberFormat="1" applyFill="1" applyBorder="1" applyAlignment="1">
      <alignment horizontal="center"/>
    </xf>
    <xf numFmtId="0" fontId="0" fillId="4" borderId="8" xfId="0" applyFill="1" applyBorder="1" applyAlignment="1">
      <alignment horizontal="center"/>
    </xf>
    <xf numFmtId="0" fontId="0" fillId="4" borderId="13" xfId="0" applyFill="1" applyBorder="1" applyAlignment="1">
      <alignment horizontal="center"/>
    </xf>
    <xf numFmtId="165" fontId="0" fillId="4" borderId="10" xfId="0" applyNumberFormat="1" applyFill="1" applyBorder="1"/>
    <xf numFmtId="165" fontId="0" fillId="4" borderId="1" xfId="0" applyNumberFormat="1" applyFill="1" applyBorder="1"/>
    <xf numFmtId="165" fontId="0" fillId="4" borderId="11" xfId="0" applyNumberFormat="1" applyFill="1" applyBorder="1"/>
    <xf numFmtId="165" fontId="1" fillId="4" borderId="11" xfId="0" applyNumberFormat="1" applyFont="1" applyFill="1" applyBorder="1"/>
    <xf numFmtId="0" fontId="0" fillId="2" borderId="13" xfId="0" applyFill="1" applyBorder="1"/>
    <xf numFmtId="0" fontId="0" fillId="2" borderId="14" xfId="0" applyFill="1" applyBorder="1"/>
    <xf numFmtId="0" fontId="0" fillId="2" borderId="3" xfId="0" applyFill="1" applyBorder="1"/>
    <xf numFmtId="0" fontId="0" fillId="2" borderId="4" xfId="0" applyFill="1" applyBorder="1"/>
    <xf numFmtId="0" fontId="0" fillId="2" borderId="0" xfId="0" applyFill="1" applyBorder="1"/>
    <xf numFmtId="0" fontId="0" fillId="2" borderId="6" xfId="0" applyFill="1" applyBorder="1"/>
    <xf numFmtId="0" fontId="0" fillId="2" borderId="8" xfId="0" applyFill="1" applyBorder="1"/>
    <xf numFmtId="0" fontId="0" fillId="2" borderId="9" xfId="0" applyFill="1" applyBorder="1"/>
    <xf numFmtId="0" fontId="5" fillId="0" borderId="0" xfId="0" applyFont="1"/>
    <xf numFmtId="0" fontId="6" fillId="0" borderId="0" xfId="0" applyFont="1"/>
    <xf numFmtId="0" fontId="0" fillId="0" borderId="12"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0" xfId="0" applyFont="1"/>
    <xf numFmtId="49" fontId="0" fillId="0" borderId="0" xfId="0" applyNumberFormat="1"/>
    <xf numFmtId="0" fontId="0" fillId="0" borderId="0" xfId="0" applyAlignment="1">
      <alignment horizontal="right"/>
    </xf>
    <xf numFmtId="0" fontId="0" fillId="0" borderId="0" xfId="0" applyBorder="1" applyAlignment="1">
      <alignment horizontal="center"/>
    </xf>
    <xf numFmtId="0" fontId="1" fillId="0" borderId="1" xfId="0" applyFont="1" applyBorder="1" applyAlignment="1">
      <alignment horizontal="center"/>
    </xf>
    <xf numFmtId="0" fontId="0" fillId="0" borderId="0" xfId="0" applyFill="1" applyBorder="1" applyAlignment="1">
      <alignment horizontal="center"/>
    </xf>
    <xf numFmtId="0" fontId="0" fillId="0" borderId="8" xfId="0" applyBorder="1" applyAlignment="1">
      <alignment horizontal="center"/>
    </xf>
    <xf numFmtId="0" fontId="0" fillId="0" borderId="3" xfId="0" applyBorder="1" applyAlignment="1">
      <alignment horizontal="right"/>
    </xf>
    <xf numFmtId="165" fontId="9" fillId="0" borderId="0" xfId="0" applyNumberFormat="1" applyFont="1" applyBorder="1" applyAlignment="1">
      <alignment horizontal="center"/>
    </xf>
    <xf numFmtId="165" fontId="0" fillId="0" borderId="0" xfId="0" applyNumberFormat="1" applyBorder="1" applyAlignment="1">
      <alignment horizontal="center"/>
    </xf>
    <xf numFmtId="0" fontId="9" fillId="0" borderId="0" xfId="0" applyFont="1" applyBorder="1" applyAlignment="1">
      <alignment horizontal="right"/>
    </xf>
    <xf numFmtId="165" fontId="0" fillId="0" borderId="0" xfId="0" applyNumberFormat="1" applyBorder="1" applyAlignment="1">
      <alignment horizontal="right"/>
    </xf>
    <xf numFmtId="0" fontId="0" fillId="0" borderId="0" xfId="0" applyBorder="1" applyAlignment="1">
      <alignment horizontal="right"/>
    </xf>
    <xf numFmtId="0" fontId="0" fillId="0" borderId="0" xfId="0" applyBorder="1" applyAlignment="1"/>
    <xf numFmtId="165" fontId="9" fillId="0" borderId="3" xfId="0" applyNumberFormat="1" applyFont="1" applyBorder="1" applyAlignment="1">
      <alignment horizontal="center"/>
    </xf>
    <xf numFmtId="165" fontId="0" fillId="0" borderId="3" xfId="0" applyNumberFormat="1" applyBorder="1" applyAlignment="1">
      <alignment horizontal="center"/>
    </xf>
    <xf numFmtId="0" fontId="9" fillId="0" borderId="3" xfId="0" applyFont="1" applyBorder="1" applyAlignment="1">
      <alignment horizontal="right"/>
    </xf>
    <xf numFmtId="165" fontId="9" fillId="0" borderId="8" xfId="0" applyNumberFormat="1" applyFont="1" applyBorder="1" applyAlignment="1">
      <alignment horizontal="center"/>
    </xf>
    <xf numFmtId="165" fontId="0" fillId="0" borderId="8" xfId="0" applyNumberFormat="1" applyBorder="1" applyAlignment="1">
      <alignment horizontal="center"/>
    </xf>
    <xf numFmtId="0" fontId="9" fillId="0" borderId="8" xfId="0" applyFont="1" applyBorder="1" applyAlignment="1">
      <alignment horizontal="right"/>
    </xf>
    <xf numFmtId="0" fontId="11" fillId="0" borderId="7" xfId="0" applyFont="1" applyBorder="1"/>
    <xf numFmtId="0" fontId="11" fillId="0" borderId="8" xfId="0" applyFont="1" applyBorder="1" applyAlignment="1">
      <alignment horizontal="center"/>
    </xf>
    <xf numFmtId="0" fontId="11" fillId="0" borderId="8" xfId="0" applyFont="1" applyBorder="1" applyAlignment="1">
      <alignment horizontal="right"/>
    </xf>
    <xf numFmtId="0" fontId="11" fillId="0" borderId="8" xfId="0" applyFont="1" applyBorder="1"/>
    <xf numFmtId="0" fontId="11" fillId="0" borderId="9" xfId="0" applyFont="1" applyBorder="1"/>
    <xf numFmtId="0" fontId="11" fillId="0" borderId="0" xfId="0" applyFont="1"/>
    <xf numFmtId="0" fontId="12" fillId="0" borderId="0" xfId="0" applyFont="1" applyAlignment="1">
      <alignment horizontal="right"/>
    </xf>
    <xf numFmtId="0" fontId="0" fillId="0" borderId="4"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14" fontId="12" fillId="5" borderId="0" xfId="0" applyNumberFormat="1" applyFont="1" applyFill="1" applyAlignment="1">
      <alignment horizontal="center"/>
    </xf>
    <xf numFmtId="165" fontId="0" fillId="5" borderId="3" xfId="0" applyNumberFormat="1" applyFill="1" applyBorder="1" applyAlignment="1">
      <alignment horizontal="right"/>
    </xf>
    <xf numFmtId="0" fontId="0" fillId="5" borderId="0" xfId="0" applyFill="1" applyBorder="1" applyAlignment="1">
      <alignment horizontal="right"/>
    </xf>
    <xf numFmtId="165" fontId="0" fillId="5" borderId="0" xfId="0" applyNumberFormat="1" applyFill="1" applyBorder="1" applyAlignment="1">
      <alignment horizontal="right"/>
    </xf>
    <xf numFmtId="14" fontId="0" fillId="5" borderId="0" xfId="0" applyNumberFormat="1" applyFill="1" applyBorder="1" applyAlignment="1">
      <alignment horizontal="left"/>
    </xf>
    <xf numFmtId="14" fontId="0" fillId="5" borderId="6" xfId="0" applyNumberFormat="1" applyFill="1" applyBorder="1" applyAlignment="1">
      <alignment horizontal="left"/>
    </xf>
    <xf numFmtId="168" fontId="0" fillId="5" borderId="0" xfId="0" applyNumberFormat="1" applyFill="1" applyBorder="1" applyAlignment="1">
      <alignment horizontal="right"/>
    </xf>
    <xf numFmtId="165" fontId="0" fillId="5" borderId="8" xfId="0" applyNumberFormat="1" applyFill="1" applyBorder="1" applyAlignment="1">
      <alignment horizontal="right"/>
    </xf>
    <xf numFmtId="168" fontId="11" fillId="5" borderId="8" xfId="0" applyNumberFormat="1" applyFont="1" applyFill="1" applyBorder="1" applyAlignment="1">
      <alignment horizontal="right"/>
    </xf>
    <xf numFmtId="43" fontId="0" fillId="5" borderId="0" xfId="1" applyFont="1" applyFill="1" applyAlignment="1">
      <alignment horizontal="right"/>
    </xf>
    <xf numFmtId="0" fontId="0" fillId="5" borderId="0" xfId="0" applyFill="1" applyBorder="1"/>
    <xf numFmtId="0" fontId="1" fillId="0" borderId="3" xfId="0" applyFont="1" applyBorder="1" applyAlignment="1">
      <alignment horizontal="center"/>
    </xf>
    <xf numFmtId="0" fontId="0" fillId="0" borderId="0" xfId="0" applyAlignment="1">
      <alignment horizontal="left"/>
    </xf>
    <xf numFmtId="14" fontId="0" fillId="0" borderId="0" xfId="0" applyNumberFormat="1" applyAlignment="1">
      <alignment horizontal="left"/>
    </xf>
    <xf numFmtId="0" fontId="1" fillId="0" borderId="8" xfId="0" applyFont="1" applyBorder="1" applyAlignment="1">
      <alignment horizontal="left"/>
    </xf>
    <xf numFmtId="0" fontId="1" fillId="0" borderId="8" xfId="0" applyFont="1" applyBorder="1"/>
    <xf numFmtId="0" fontId="0" fillId="0" borderId="0" xfId="0" applyAlignment="1"/>
    <xf numFmtId="0" fontId="3" fillId="0" borderId="0" xfId="0" applyFont="1" applyFill="1" applyAlignment="1">
      <alignment horizontal="center"/>
    </xf>
    <xf numFmtId="168" fontId="0" fillId="5" borderId="6" xfId="0" applyNumberFormat="1" applyFill="1" applyBorder="1" applyAlignment="1">
      <alignment horizontal="center"/>
    </xf>
    <xf numFmtId="168" fontId="0" fillId="5" borderId="9" xfId="0" applyNumberFormat="1" applyFill="1" applyBorder="1" applyAlignment="1">
      <alignment horizontal="center"/>
    </xf>
    <xf numFmtId="0" fontId="0" fillId="0" borderId="13" xfId="0" applyBorder="1" applyAlignment="1">
      <alignment horizontal="center"/>
    </xf>
    <xf numFmtId="14" fontId="1" fillId="3" borderId="0" xfId="0" applyNumberFormat="1" applyFont="1" applyFill="1" applyAlignment="1">
      <alignment horizontal="right"/>
    </xf>
    <xf numFmtId="0" fontId="0" fillId="6" borderId="0" xfId="0" applyFill="1" applyAlignment="1">
      <alignment horizontal="right"/>
    </xf>
    <xf numFmtId="169" fontId="0" fillId="3" borderId="0" xfId="1" applyNumberFormat="1" applyFont="1" applyFill="1" applyAlignment="1">
      <alignment horizontal="right"/>
    </xf>
    <xf numFmtId="0" fontId="0" fillId="3" borderId="0" xfId="0" applyFill="1" applyAlignment="1">
      <alignment horizontal="right"/>
    </xf>
    <xf numFmtId="0" fontId="1" fillId="3" borderId="0" xfId="0" applyFont="1" applyFill="1" applyAlignment="1">
      <alignment horizontal="right"/>
    </xf>
    <xf numFmtId="169" fontId="1" fillId="3" borderId="0" xfId="0" applyNumberFormat="1" applyFont="1" applyFill="1" applyAlignment="1">
      <alignment horizontal="right"/>
    </xf>
    <xf numFmtId="168" fontId="0" fillId="3" borderId="0" xfId="0" applyNumberFormat="1" applyFill="1" applyAlignment="1">
      <alignment horizontal="right"/>
    </xf>
    <xf numFmtId="168" fontId="1" fillId="3" borderId="0" xfId="0" applyNumberFormat="1" applyFont="1" applyFill="1" applyAlignment="1">
      <alignment horizontal="right"/>
    </xf>
    <xf numFmtId="0" fontId="15" fillId="0" borderId="0" xfId="0" applyFont="1"/>
    <xf numFmtId="0" fontId="1" fillId="0" borderId="0" xfId="0" applyFont="1" applyAlignment="1">
      <alignment horizontal="left"/>
    </xf>
    <xf numFmtId="0" fontId="0" fillId="4" borderId="13" xfId="0" applyFill="1" applyBorder="1"/>
    <xf numFmtId="0" fontId="16" fillId="0" borderId="0" xfId="0" applyFont="1"/>
    <xf numFmtId="14" fontId="12" fillId="0" borderId="0" xfId="0" applyNumberFormat="1" applyFont="1" applyFill="1" applyAlignment="1">
      <alignment horizontal="center"/>
    </xf>
    <xf numFmtId="0" fontId="17" fillId="0" borderId="0" xfId="0" applyFont="1"/>
    <xf numFmtId="0" fontId="1" fillId="0" borderId="12" xfId="0" applyFont="1" applyBorder="1"/>
    <xf numFmtId="0" fontId="0" fillId="3" borderId="0" xfId="0" applyFill="1"/>
    <xf numFmtId="0" fontId="16" fillId="2" borderId="1" xfId="0" applyFont="1" applyFill="1" applyBorder="1" applyAlignment="1">
      <alignment horizontal="center"/>
    </xf>
    <xf numFmtId="164" fontId="0" fillId="4" borderId="0" xfId="0" applyNumberFormat="1" applyFill="1" applyAlignment="1">
      <alignment horizontal="left"/>
    </xf>
    <xf numFmtId="0" fontId="0" fillId="4" borderId="13" xfId="0" applyFont="1" applyFill="1" applyBorder="1" applyAlignment="1">
      <alignment horizontal="left"/>
    </xf>
    <xf numFmtId="165" fontId="0" fillId="0" borderId="14" xfId="0" applyNumberFormat="1" applyFill="1" applyBorder="1"/>
    <xf numFmtId="167" fontId="0" fillId="4" borderId="13" xfId="0" applyNumberFormat="1" applyFill="1" applyBorder="1" applyAlignment="1">
      <alignment horizontal="left"/>
    </xf>
    <xf numFmtId="14" fontId="0" fillId="4" borderId="13" xfId="0" applyNumberFormat="1" applyFill="1" applyBorder="1" applyAlignment="1">
      <alignment horizontal="center"/>
    </xf>
    <xf numFmtId="167" fontId="0" fillId="4" borderId="13" xfId="0" applyNumberFormat="1" applyFill="1" applyBorder="1" applyAlignment="1">
      <alignment horizontal="center"/>
    </xf>
    <xf numFmtId="168" fontId="0" fillId="4" borderId="13" xfId="0" applyNumberFormat="1" applyFill="1" applyBorder="1" applyAlignment="1">
      <alignment horizontal="left"/>
    </xf>
    <xf numFmtId="165" fontId="1" fillId="0" borderId="14" xfId="0" applyNumberFormat="1" applyFont="1" applyFill="1" applyBorder="1"/>
    <xf numFmtId="0" fontId="0" fillId="0" borderId="12" xfId="0" applyFont="1" applyBorder="1" applyAlignment="1">
      <alignment vertical="top"/>
    </xf>
    <xf numFmtId="165" fontId="0" fillId="0" borderId="14" xfId="0" applyNumberFormat="1" applyFill="1" applyBorder="1" applyAlignment="1">
      <alignment horizontal="right" wrapText="1"/>
    </xf>
    <xf numFmtId="165" fontId="0" fillId="0" borderId="14" xfId="0" applyNumberFormat="1" applyBorder="1" applyAlignment="1">
      <alignment horizontal="right" wrapText="1"/>
    </xf>
    <xf numFmtId="14" fontId="0" fillId="4" borderId="0" xfId="0" applyNumberFormat="1" applyFill="1" applyAlignment="1">
      <alignment horizontal="left"/>
    </xf>
    <xf numFmtId="0" fontId="5" fillId="4" borderId="0" xfId="0" applyFont="1" applyFill="1"/>
    <xf numFmtId="0" fontId="19" fillId="0" borderId="0" xfId="0" applyFont="1"/>
    <xf numFmtId="0" fontId="0" fillId="2" borderId="12" xfId="0" applyFill="1" applyBorder="1" applyProtection="1">
      <protection locked="0"/>
    </xf>
    <xf numFmtId="0" fontId="0" fillId="2" borderId="2" xfId="0" applyFill="1" applyBorder="1" applyProtection="1">
      <protection locked="0"/>
    </xf>
    <xf numFmtId="0" fontId="0" fillId="2" borderId="5" xfId="0" applyFill="1" applyBorder="1" applyProtection="1">
      <protection locked="0"/>
    </xf>
    <xf numFmtId="0" fontId="0" fillId="2" borderId="7" xfId="0" applyFill="1" applyBorder="1" applyProtection="1">
      <protection locked="0"/>
    </xf>
    <xf numFmtId="0" fontId="0" fillId="0" borderId="11" xfId="0" applyBorder="1" applyAlignment="1">
      <alignment horizontal="center"/>
    </xf>
    <xf numFmtId="49" fontId="1" fillId="0" borderId="0" xfId="0" applyNumberFormat="1" applyFont="1"/>
    <xf numFmtId="0" fontId="0" fillId="0" borderId="0" xfId="0" applyFill="1"/>
    <xf numFmtId="0" fontId="24" fillId="0" borderId="0" xfId="0" applyFont="1" applyAlignment="1">
      <alignment horizontal="left" vertical="center"/>
    </xf>
    <xf numFmtId="0" fontId="1" fillId="0" borderId="0" xfId="0" applyFont="1" applyAlignment="1">
      <alignment vertical="center"/>
    </xf>
    <xf numFmtId="0" fontId="1" fillId="0" borderId="0" xfId="0" applyNumberFormat="1" applyFont="1" applyAlignment="1">
      <alignment vertical="center"/>
    </xf>
    <xf numFmtId="0" fontId="12" fillId="0" borderId="0" xfId="0" applyFont="1" applyAlignment="1">
      <alignment horizontal="right" vertical="center"/>
    </xf>
    <xf numFmtId="14" fontId="12" fillId="5" borderId="0" xfId="0" applyNumberFormat="1" applyFont="1" applyFill="1" applyAlignment="1">
      <alignment horizontal="center" vertical="center"/>
    </xf>
    <xf numFmtId="14" fontId="0" fillId="8" borderId="1" xfId="0" applyNumberFormat="1" applyFill="1" applyBorder="1" applyAlignment="1">
      <alignment horizontal="center"/>
    </xf>
    <xf numFmtId="0" fontId="7" fillId="0" borderId="0" xfId="0" applyFont="1" applyFill="1"/>
    <xf numFmtId="49" fontId="0" fillId="0" borderId="0" xfId="0" applyNumberFormat="1" applyAlignment="1">
      <alignment horizontal="center" vertical="center"/>
    </xf>
    <xf numFmtId="0" fontId="0" fillId="0" borderId="0" xfId="0" applyAlignment="1">
      <alignment vertical="center"/>
    </xf>
    <xf numFmtId="0" fontId="0" fillId="0" borderId="0" xfId="0" applyFill="1" applyBorder="1" applyAlignment="1" applyProtection="1">
      <alignment horizontal="center" vertical="center"/>
    </xf>
    <xf numFmtId="0" fontId="4" fillId="0" borderId="0" xfId="0" applyFont="1" applyAlignment="1">
      <alignment vertical="center"/>
    </xf>
    <xf numFmtId="0" fontId="16" fillId="0" borderId="0" xfId="0" applyFont="1" applyAlignment="1">
      <alignment vertical="center"/>
    </xf>
    <xf numFmtId="0" fontId="0" fillId="0" borderId="0" xfId="0" applyFont="1" applyAlignment="1">
      <alignment vertical="center"/>
    </xf>
    <xf numFmtId="49" fontId="0" fillId="0" borderId="0" xfId="0" applyNumberFormat="1" applyAlignment="1">
      <alignment vertical="center"/>
    </xf>
    <xf numFmtId="0" fontId="25" fillId="0" borderId="0" xfId="0" applyFont="1" applyAlignment="1">
      <alignment vertical="center"/>
    </xf>
    <xf numFmtId="0" fontId="0" fillId="2" borderId="1" xfId="0" applyFill="1" applyBorder="1" applyAlignment="1" applyProtection="1">
      <alignment horizontal="center" vertical="center"/>
      <protection locked="0"/>
    </xf>
    <xf numFmtId="14" fontId="0" fillId="0" borderId="0" xfId="0" applyNumberFormat="1" applyAlignment="1">
      <alignment vertical="center"/>
    </xf>
    <xf numFmtId="0" fontId="0" fillId="0" borderId="0" xfId="0" applyBorder="1" applyAlignment="1">
      <alignment vertical="center"/>
    </xf>
    <xf numFmtId="0" fontId="0" fillId="0" borderId="13" xfId="0" applyFill="1" applyBorder="1" applyAlignment="1">
      <alignment horizontal="center" vertical="center"/>
    </xf>
    <xf numFmtId="0" fontId="26" fillId="0" borderId="0" xfId="0" applyFont="1" applyAlignment="1">
      <alignment vertical="center"/>
    </xf>
    <xf numFmtId="0" fontId="5" fillId="0" borderId="0" xfId="0" applyFont="1" applyAlignment="1">
      <alignment vertical="center"/>
    </xf>
    <xf numFmtId="0" fontId="23" fillId="7" borderId="16" xfId="2" applyFont="1" applyFill="1" applyBorder="1" applyAlignment="1" applyProtection="1">
      <alignment horizontal="center"/>
      <protection locked="0"/>
    </xf>
    <xf numFmtId="0" fontId="0" fillId="0" borderId="0" xfId="0" applyAlignment="1">
      <alignment horizontal="right" vertical="center"/>
    </xf>
    <xf numFmtId="0" fontId="0" fillId="2" borderId="0" xfId="0" applyFill="1" applyAlignment="1" applyProtection="1">
      <alignment horizontal="right" vertical="center"/>
      <protection locked="0"/>
    </xf>
    <xf numFmtId="0" fontId="21" fillId="0" borderId="0" xfId="0" applyFont="1" applyAlignment="1">
      <alignment vertical="center"/>
    </xf>
    <xf numFmtId="0" fontId="21" fillId="0" borderId="0" xfId="2" applyFont="1" applyAlignment="1">
      <alignment vertical="center"/>
    </xf>
    <xf numFmtId="0" fontId="27" fillId="0" borderId="0" xfId="0" applyFont="1" applyAlignment="1">
      <alignment vertical="center"/>
    </xf>
    <xf numFmtId="0" fontId="5" fillId="0" borderId="0" xfId="0" applyFont="1" applyAlignment="1"/>
    <xf numFmtId="0" fontId="0" fillId="6" borderId="0" xfId="0" applyFill="1"/>
    <xf numFmtId="0" fontId="28" fillId="0" borderId="0" xfId="0" applyFont="1"/>
    <xf numFmtId="0" fontId="0" fillId="0" borderId="0" xfId="0" applyAlignment="1">
      <alignment wrapText="1"/>
    </xf>
    <xf numFmtId="0" fontId="7" fillId="0" borderId="0" xfId="0" applyFont="1"/>
    <xf numFmtId="0" fontId="0" fillId="0" borderId="0" xfId="0" applyAlignment="1">
      <alignment horizontal="center" vertical="top"/>
    </xf>
    <xf numFmtId="0" fontId="0" fillId="0" borderId="0" xfId="0" applyAlignment="1">
      <alignment vertical="top"/>
    </xf>
    <xf numFmtId="0" fontId="0" fillId="0" borderId="0" xfId="0" applyFill="1" applyAlignment="1">
      <alignment vertical="top" wrapText="1"/>
    </xf>
    <xf numFmtId="0" fontId="0" fillId="0" borderId="0" xfId="0" applyFill="1" applyAlignment="1">
      <alignment wrapText="1"/>
    </xf>
    <xf numFmtId="0" fontId="29" fillId="0" borderId="0" xfId="0" applyFont="1"/>
    <xf numFmtId="0" fontId="29" fillId="0" borderId="0" xfId="0" applyFont="1" applyFill="1"/>
    <xf numFmtId="0" fontId="30" fillId="0" borderId="0" xfId="0" applyFont="1" applyFill="1"/>
    <xf numFmtId="0" fontId="29" fillId="0" borderId="0" xfId="0" applyFont="1" applyAlignment="1">
      <alignment vertical="top" wrapText="1"/>
    </xf>
    <xf numFmtId="0" fontId="0" fillId="3" borderId="0" xfId="0" applyFont="1" applyFill="1" applyAlignment="1">
      <alignment horizontal="center"/>
    </xf>
    <xf numFmtId="0" fontId="0" fillId="3" borderId="0" xfId="0" applyFont="1" applyFill="1"/>
    <xf numFmtId="14" fontId="0" fillId="9" borderId="1" xfId="0" applyNumberForma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ill="1"/>
    <xf numFmtId="0" fontId="7" fillId="0" borderId="0" xfId="0" applyFont="1" applyFill="1"/>
    <xf numFmtId="0" fontId="0" fillId="0" borderId="0" xfId="0" applyFill="1" applyAlignment="1">
      <alignment vertical="top" wrapText="1"/>
    </xf>
    <xf numFmtId="0" fontId="0" fillId="0" borderId="12" xfId="0" applyFont="1" applyBorder="1"/>
    <xf numFmtId="0" fontId="0" fillId="0" borderId="0" xfId="0" applyBorder="1" applyAlignment="1">
      <alignment horizontal="left"/>
    </xf>
    <xf numFmtId="168" fontId="0" fillId="5" borderId="14" xfId="0" applyNumberFormat="1" applyFill="1"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9" fillId="0" borderId="17" xfId="0" applyFont="1" applyBorder="1"/>
    <xf numFmtId="0" fontId="0" fillId="0" borderId="18" xfId="0" applyBorder="1" applyAlignment="1">
      <alignment horizontal="center"/>
    </xf>
    <xf numFmtId="0" fontId="0" fillId="0" borderId="19" xfId="0" applyBorder="1" applyAlignment="1">
      <alignment horizontal="center"/>
    </xf>
    <xf numFmtId="0" fontId="1" fillId="2" borderId="0" xfId="0" applyFont="1" applyFill="1" applyAlignment="1" applyProtection="1">
      <alignment horizontal="center"/>
      <protection locked="0"/>
    </xf>
    <xf numFmtId="168" fontId="0" fillId="2" borderId="14" xfId="0" applyNumberFormat="1" applyFill="1" applyBorder="1" applyAlignment="1" applyProtection="1">
      <alignment horizontal="center"/>
      <protection locked="0"/>
    </xf>
    <xf numFmtId="168" fontId="0" fillId="2" borderId="4" xfId="0" applyNumberFormat="1" applyFill="1" applyBorder="1" applyAlignment="1" applyProtection="1">
      <alignment horizontal="center"/>
      <protection locked="0"/>
    </xf>
    <xf numFmtId="14" fontId="10" fillId="2" borderId="1" xfId="0" applyNumberFormat="1" applyFont="1" applyFill="1" applyBorder="1" applyAlignment="1" applyProtection="1">
      <alignment horizontal="center"/>
      <protection locked="0"/>
    </xf>
    <xf numFmtId="14" fontId="0" fillId="2" borderId="1" xfId="0" applyNumberFormat="1" applyFill="1" applyBorder="1" applyAlignment="1" applyProtection="1">
      <alignment horizontal="center"/>
      <protection locked="0"/>
    </xf>
    <xf numFmtId="165" fontId="0" fillId="2" borderId="4" xfId="0" applyNumberFormat="1" applyFill="1" applyBorder="1" applyAlignment="1" applyProtection="1">
      <alignment horizontal="center"/>
      <protection locked="0"/>
    </xf>
    <xf numFmtId="165" fontId="0" fillId="2" borderId="9" xfId="0" applyNumberFormat="1" applyFill="1" applyBorder="1" applyAlignment="1" applyProtection="1">
      <alignment horizontal="center"/>
      <protection locked="0"/>
    </xf>
    <xf numFmtId="165" fontId="0" fillId="2" borderId="14" xfId="0" applyNumberFormat="1" applyFill="1" applyBorder="1" applyAlignment="1" applyProtection="1">
      <alignment horizontal="center"/>
      <protection locked="0"/>
    </xf>
    <xf numFmtId="166" fontId="10" fillId="2" borderId="5" xfId="0" applyNumberFormat="1" applyFont="1" applyFill="1" applyBorder="1" applyProtection="1">
      <protection locked="0"/>
    </xf>
    <xf numFmtId="166" fontId="16" fillId="2" borderId="5" xfId="0" applyNumberFormat="1" applyFont="1" applyFill="1" applyBorder="1" applyProtection="1">
      <protection locked="0"/>
    </xf>
    <xf numFmtId="166" fontId="10" fillId="2" borderId="10" xfId="0" applyNumberFormat="1" applyFont="1" applyFill="1" applyBorder="1" applyProtection="1">
      <protection locked="0"/>
    </xf>
    <xf numFmtId="166" fontId="10" fillId="2" borderId="15" xfId="0" applyNumberFormat="1" applyFont="1" applyFill="1" applyBorder="1" applyProtection="1">
      <protection locked="0"/>
    </xf>
    <xf numFmtId="166" fontId="0" fillId="2" borderId="5" xfId="0" applyNumberFormat="1" applyFill="1" applyBorder="1" applyProtection="1">
      <protection locked="0"/>
    </xf>
    <xf numFmtId="166" fontId="32" fillId="2" borderId="5" xfId="0" applyNumberFormat="1" applyFont="1" applyFill="1" applyBorder="1" applyProtection="1">
      <protection locked="0"/>
    </xf>
    <xf numFmtId="166" fontId="0" fillId="2" borderId="7" xfId="0" applyNumberFormat="1" applyFill="1" applyBorder="1" applyProtection="1">
      <protection locked="0"/>
    </xf>
    <xf numFmtId="166" fontId="22" fillId="2" borderId="2" xfId="0" applyNumberFormat="1" applyFont="1" applyFill="1" applyBorder="1" applyProtection="1">
      <protection locked="0"/>
    </xf>
    <xf numFmtId="166" fontId="22" fillId="2" borderId="5" xfId="0" applyNumberFormat="1" applyFont="1" applyFill="1" applyBorder="1" applyProtection="1">
      <protection locked="0"/>
    </xf>
    <xf numFmtId="166" fontId="22" fillId="2" borderId="11" xfId="0" applyNumberFormat="1" applyFont="1" applyFill="1" applyBorder="1" applyProtection="1">
      <protection locked="0"/>
    </xf>
    <xf numFmtId="166" fontId="16" fillId="2" borderId="15" xfId="0" applyNumberFormat="1" applyFont="1" applyFill="1" applyBorder="1" applyProtection="1">
      <protection locked="0"/>
    </xf>
    <xf numFmtId="166" fontId="22" fillId="2" borderId="10" xfId="0" applyNumberFormat="1" applyFont="1" applyFill="1" applyBorder="1" applyProtection="1">
      <protection locked="0"/>
    </xf>
    <xf numFmtId="166" fontId="22" fillId="2" borderId="15" xfId="0" applyNumberFormat="1" applyFont="1" applyFill="1" applyBorder="1" applyProtection="1">
      <protection locked="0"/>
    </xf>
    <xf numFmtId="167" fontId="0" fillId="2" borderId="12" xfId="0" applyNumberFormat="1" applyFill="1" applyBorder="1" applyAlignment="1" applyProtection="1">
      <alignment horizontal="center"/>
      <protection locked="0"/>
    </xf>
    <xf numFmtId="167" fontId="0" fillId="2" borderId="14" xfId="0" applyNumberFormat="1" applyFill="1" applyBorder="1" applyAlignment="1" applyProtection="1">
      <alignment horizontal="center"/>
      <protection locked="0"/>
    </xf>
    <xf numFmtId="14" fontId="0" fillId="2" borderId="12" xfId="0" applyNumberFormat="1" applyFill="1" applyBorder="1" applyAlignment="1" applyProtection="1">
      <alignment horizontal="center" vertical="center"/>
      <protection locked="0"/>
    </xf>
    <xf numFmtId="14" fontId="0" fillId="2" borderId="14" xfId="0" applyNumberForma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5" fillId="0" borderId="0" xfId="0" applyFont="1" applyAlignment="1">
      <alignment wrapText="1"/>
    </xf>
    <xf numFmtId="0" fontId="16" fillId="2" borderId="12" xfId="0" applyFont="1" applyFill="1" applyBorder="1" applyAlignment="1">
      <alignment horizontal="center"/>
    </xf>
    <xf numFmtId="0" fontId="16" fillId="2" borderId="14" xfId="0" applyFont="1" applyFill="1" applyBorder="1" applyAlignment="1">
      <alignment horizontal="center"/>
    </xf>
    <xf numFmtId="14" fontId="0" fillId="2" borderId="12" xfId="0" applyNumberFormat="1" applyFill="1" applyBorder="1" applyAlignment="1" applyProtection="1">
      <alignment horizontal="center"/>
      <protection locked="0"/>
    </xf>
    <xf numFmtId="14" fontId="0" fillId="2" borderId="14" xfId="0" applyNumberFormat="1"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14" fontId="16" fillId="2" borderId="12" xfId="0" applyNumberFormat="1" applyFont="1" applyFill="1" applyBorder="1" applyAlignment="1">
      <alignment horizontal="center"/>
    </xf>
    <xf numFmtId="14" fontId="16" fillId="2" borderId="14" xfId="0" applyNumberFormat="1" applyFont="1" applyFill="1" applyBorder="1" applyAlignment="1">
      <alignment horizontal="center"/>
    </xf>
    <xf numFmtId="164" fontId="0" fillId="4" borderId="0" xfId="0" applyNumberFormat="1" applyFill="1" applyAlignment="1">
      <alignment horizontal="left"/>
    </xf>
    <xf numFmtId="0" fontId="34" fillId="0" borderId="0" xfId="3" applyFont="1" applyFill="1" applyBorder="1"/>
    <xf numFmtId="0" fontId="35" fillId="0" borderId="0" xfId="3" applyNumberFormat="1" applyFont="1" applyFill="1" applyBorder="1" applyAlignment="1">
      <alignment vertical="top" wrapText="1" readingOrder="1"/>
    </xf>
    <xf numFmtId="0" fontId="34" fillId="0" borderId="0" xfId="3" applyFont="1" applyFill="1" applyBorder="1"/>
    <xf numFmtId="0" fontId="39" fillId="0" borderId="0" xfId="3" applyNumberFormat="1" applyFont="1" applyFill="1" applyBorder="1" applyAlignment="1">
      <alignment vertical="top" wrapText="1" readingOrder="1"/>
    </xf>
    <xf numFmtId="0" fontId="40" fillId="0" borderId="0" xfId="3" applyNumberFormat="1" applyFont="1" applyFill="1" applyBorder="1" applyAlignment="1">
      <alignment horizontal="center" vertical="top" wrapText="1" readingOrder="1"/>
    </xf>
    <xf numFmtId="0" fontId="38" fillId="0" borderId="0" xfId="3" applyNumberFormat="1" applyFont="1" applyFill="1" applyBorder="1" applyAlignment="1">
      <alignment horizontal="right" vertical="top" wrapText="1" readingOrder="1"/>
    </xf>
    <xf numFmtId="0" fontId="38" fillId="0" borderId="20" xfId="3" applyNumberFormat="1" applyFont="1" applyFill="1" applyBorder="1" applyAlignment="1">
      <alignment vertical="top" wrapText="1" readingOrder="1"/>
    </xf>
    <xf numFmtId="0" fontId="34" fillId="0" borderId="21" xfId="3" applyNumberFormat="1" applyFont="1" applyFill="1" applyBorder="1" applyAlignment="1">
      <alignment vertical="top" wrapText="1"/>
    </xf>
    <xf numFmtId="0" fontId="34" fillId="0" borderId="22" xfId="3" applyNumberFormat="1" applyFont="1" applyFill="1" applyBorder="1" applyAlignment="1">
      <alignment vertical="top" wrapText="1"/>
    </xf>
    <xf numFmtId="0" fontId="39" fillId="0" borderId="20" xfId="3" applyNumberFormat="1" applyFont="1" applyFill="1" applyBorder="1" applyAlignment="1">
      <alignment vertical="top" wrapText="1" readingOrder="1"/>
    </xf>
    <xf numFmtId="170" fontId="39" fillId="0" borderId="20" xfId="3" applyNumberFormat="1" applyFont="1" applyFill="1" applyBorder="1" applyAlignment="1">
      <alignment horizontal="right" vertical="top" wrapText="1" readingOrder="1"/>
    </xf>
    <xf numFmtId="171" fontId="39" fillId="0" borderId="20" xfId="3" applyNumberFormat="1" applyFont="1" applyFill="1" applyBorder="1" applyAlignment="1">
      <alignment horizontal="right" vertical="top" wrapText="1" readingOrder="1"/>
    </xf>
    <xf numFmtId="170" fontId="38" fillId="0" borderId="20" xfId="3" applyNumberFormat="1" applyFont="1" applyFill="1" applyBorder="1" applyAlignment="1">
      <alignment horizontal="right" vertical="top" wrapText="1" readingOrder="1"/>
    </xf>
    <xf numFmtId="0" fontId="41" fillId="0" borderId="20" xfId="3" applyNumberFormat="1" applyFont="1" applyFill="1" applyBorder="1" applyAlignment="1">
      <alignment horizontal="right" vertical="top" wrapText="1" readingOrder="1"/>
    </xf>
    <xf numFmtId="0" fontId="42" fillId="0" borderId="23" xfId="3" applyNumberFormat="1" applyFont="1" applyFill="1" applyBorder="1" applyAlignment="1">
      <alignment vertical="top" wrapText="1" readingOrder="1"/>
    </xf>
    <xf numFmtId="0" fontId="34" fillId="0" borderId="23" xfId="3" applyNumberFormat="1" applyFont="1" applyFill="1" applyBorder="1" applyAlignment="1">
      <alignment vertical="top" wrapText="1"/>
    </xf>
    <xf numFmtId="0" fontId="38" fillId="0" borderId="0" xfId="3" applyNumberFormat="1" applyFont="1" applyFill="1" applyBorder="1" applyAlignment="1">
      <alignment vertical="top" wrapText="1" readingOrder="1"/>
    </xf>
    <xf numFmtId="0" fontId="37" fillId="0" borderId="0" xfId="3" applyNumberFormat="1" applyFont="1" applyFill="1" applyBorder="1" applyAlignment="1">
      <alignment vertical="top" wrapText="1" readingOrder="1"/>
    </xf>
    <xf numFmtId="0" fontId="46" fillId="0" borderId="20" xfId="3" applyNumberFormat="1" applyFont="1" applyFill="1" applyBorder="1" applyAlignment="1">
      <alignment vertical="top" wrapText="1" readingOrder="1"/>
    </xf>
    <xf numFmtId="0" fontId="42" fillId="0" borderId="0" xfId="3" applyNumberFormat="1" applyFont="1" applyFill="1" applyBorder="1" applyAlignment="1">
      <alignment vertical="top" wrapText="1" readingOrder="1"/>
    </xf>
  </cellXfs>
  <cellStyles count="4">
    <cellStyle name="Comma" xfId="1" builtinId="3"/>
    <cellStyle name="Hyperlink" xfId="2" builtinId="8"/>
    <cellStyle name="Normal" xfId="0" builtinId="0"/>
    <cellStyle name="Normal 2" xfId="3"/>
  </cellStyles>
  <dxfs count="0"/>
  <tableStyles count="0" defaultTableStyle="TableStyleMedium2" defaultPivotStyle="PivotStyleLight16"/>
  <colors>
    <mruColors>
      <color rgb="FFFFFF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alc Sheet'!$D$27" lockText="1" noThreeD="1"/>
</file>

<file path=xl/ctrlProps/ctrlProp2.xml><?xml version="1.0" encoding="utf-8"?>
<formControlPr xmlns="http://schemas.microsoft.com/office/spreadsheetml/2009/9/main" objectType="CheckBox" fmlaLink="'Calc Sheet'!$D$22" lockText="1" noThreeD="1"/>
</file>

<file path=xl/ctrlProps/ctrlProp3.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18</xdr:row>
          <xdr:rowOff>9525</xdr:rowOff>
        </xdr:from>
        <xdr:to>
          <xdr:col>4</xdr:col>
          <xdr:colOff>276225</xdr:colOff>
          <xdr:row>19</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9525</xdr:rowOff>
        </xdr:from>
        <xdr:to>
          <xdr:col>4</xdr:col>
          <xdr:colOff>285750</xdr:colOff>
          <xdr:row>17</xdr:row>
          <xdr:rowOff>19050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23</xdr:row>
          <xdr:rowOff>9525</xdr:rowOff>
        </xdr:from>
        <xdr:to>
          <xdr:col>5</xdr:col>
          <xdr:colOff>514350</xdr:colOff>
          <xdr:row>24</xdr:row>
          <xdr:rowOff>85725</xdr:rowOff>
        </xdr:to>
        <xdr:sp macro="" textlink="">
          <xdr:nvSpPr>
            <xdr:cNvPr id="12289" name="Button 1" descr="Apply Now&#10;"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NZ" sz="1100" b="0" i="0" u="none" strike="noStrike" baseline="0">
                  <a:solidFill>
                    <a:srgbClr val="000000"/>
                  </a:solidFill>
                  <a:latin typeface="Calibri"/>
                  <a:cs typeface="Calibri"/>
                </a:rPr>
                <a:t>Send Application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18143</xdr:rowOff>
    </xdr:from>
    <xdr:to>
      <xdr:col>10</xdr:col>
      <xdr:colOff>583110</xdr:colOff>
      <xdr:row>51</xdr:row>
      <xdr:rowOff>71060</xdr:rowOff>
    </xdr:to>
    <xdr:pic macro="[0]!Picture1_Click">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143"/>
          <a:ext cx="6660967" cy="9305774"/>
        </a:xfrm>
        <a:prstGeom prst="rect">
          <a:avLst/>
        </a:prstGeom>
      </xdr:spPr>
    </xdr:pic>
    <xdr:clientData/>
  </xdr:twoCellAnchor>
  <xdr:twoCellAnchor editAs="oneCell">
    <xdr:from>
      <xdr:col>0</xdr:col>
      <xdr:colOff>25400</xdr:colOff>
      <xdr:row>56</xdr:row>
      <xdr:rowOff>25400</xdr:rowOff>
    </xdr:from>
    <xdr:to>
      <xdr:col>10</xdr:col>
      <xdr:colOff>596089</xdr:colOff>
      <xdr:row>108</xdr:row>
      <xdr:rowOff>152400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0693400"/>
          <a:ext cx="6666689" cy="10033000"/>
        </a:xfrm>
        <a:prstGeom prst="rect">
          <a:avLst/>
        </a:prstGeom>
      </xdr:spPr>
    </xdr:pic>
    <xdr:clientData/>
  </xdr:twoCellAnchor>
  <xdr:twoCellAnchor editAs="oneCell">
    <xdr:from>
      <xdr:col>11</xdr:col>
      <xdr:colOff>19049</xdr:colOff>
      <xdr:row>0</xdr:row>
      <xdr:rowOff>14816</xdr:rowOff>
    </xdr:from>
    <xdr:to>
      <xdr:col>21</xdr:col>
      <xdr:colOff>594586</xdr:colOff>
      <xdr:row>52</xdr:row>
      <xdr:rowOff>165099</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4649" y="14816"/>
          <a:ext cx="6671537" cy="10056283"/>
        </a:xfrm>
        <a:prstGeom prst="rect">
          <a:avLst/>
        </a:prstGeom>
      </xdr:spPr>
    </xdr:pic>
    <xdr:clientData/>
  </xdr:twoCellAnchor>
  <xdr:twoCellAnchor editAs="oneCell">
    <xdr:from>
      <xdr:col>11</xdr:col>
      <xdr:colOff>67733</xdr:colOff>
      <xdr:row>56</xdr:row>
      <xdr:rowOff>31751</xdr:rowOff>
    </xdr:from>
    <xdr:to>
      <xdr:col>21</xdr:col>
      <xdr:colOff>577522</xdr:colOff>
      <xdr:row>108</xdr:row>
      <xdr:rowOff>88900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73333" y="10699751"/>
          <a:ext cx="6605789" cy="9963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943429</xdr:colOff>
      <xdr:row>58</xdr:row>
      <xdr:rowOff>18027</xdr:rowOff>
    </xdr:from>
    <xdr:to>
      <xdr:col>8</xdr:col>
      <xdr:colOff>607495</xdr:colOff>
      <xdr:row>67</xdr:row>
      <xdr:rowOff>31692</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0643" y="10459241"/>
          <a:ext cx="1632566" cy="1592094"/>
        </a:xfrm>
        <a:prstGeom prst="rect">
          <a:avLst/>
        </a:prstGeom>
      </xdr:spPr>
    </xdr:pic>
    <xdr:clientData/>
  </xdr:twoCellAnchor>
  <xdr:twoCellAnchor editAs="oneCell">
    <xdr:from>
      <xdr:col>6</xdr:col>
      <xdr:colOff>943429</xdr:colOff>
      <xdr:row>0</xdr:row>
      <xdr:rowOff>21771</xdr:rowOff>
    </xdr:from>
    <xdr:to>
      <xdr:col>8</xdr:col>
      <xdr:colOff>610670</xdr:colOff>
      <xdr:row>9</xdr:row>
      <xdr:rowOff>35889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0643" y="21771"/>
          <a:ext cx="1635741" cy="15925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872655</xdr:colOff>
      <xdr:row>2</xdr:row>
      <xdr:rowOff>127000</xdr:rowOff>
    </xdr:to>
    <xdr:pic>
      <xdr:nvPicPr>
        <xdr:cNvPr id="2" name="Picture 1"/>
        <xdr:cNvPicPr/>
      </xdr:nvPicPr>
      <xdr:blipFill>
        <a:blip xmlns:r="http://schemas.openxmlformats.org/officeDocument/2006/relationships" r:embed="rId1" cstate="print"/>
        <a:stretch>
          <a:fillRect/>
        </a:stretch>
      </xdr:blipFill>
      <xdr:spPr>
        <a:xfrm>
          <a:off x="5076825" y="190500"/>
          <a:ext cx="872655" cy="1498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943429</xdr:colOff>
      <xdr:row>1</xdr:row>
      <xdr:rowOff>18027</xdr:rowOff>
    </xdr:from>
    <xdr:to>
      <xdr:col>8</xdr:col>
      <xdr:colOff>607495</xdr:colOff>
      <xdr:row>10</xdr:row>
      <xdr:rowOff>31692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8654" y="10867002"/>
          <a:ext cx="1530966" cy="1623390"/>
        </a:xfrm>
        <a:prstGeom prst="rect">
          <a:avLst/>
        </a:prstGeom>
      </xdr:spPr>
    </xdr:pic>
    <xdr:clientData/>
  </xdr:twoCellAnchor>
  <xdr:twoCellAnchor editAs="oneCell">
    <xdr:from>
      <xdr:col>6</xdr:col>
      <xdr:colOff>943429</xdr:colOff>
      <xdr:row>0</xdr:row>
      <xdr:rowOff>0</xdr:rowOff>
    </xdr:from>
    <xdr:to>
      <xdr:col>8</xdr:col>
      <xdr:colOff>610670</xdr:colOff>
      <xdr:row>9</xdr:row>
      <xdr:rowOff>14118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48654" y="21771"/>
          <a:ext cx="1534141" cy="16238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ara.international.ac.nz/dates-and-fee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cpit.ac.nz/explore-cpit/international/useful-docu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workbookViewId="0">
      <pane xSplit="3" ySplit="4" topLeftCell="H26" activePane="bottomRight" state="frozen"/>
      <selection pane="topRight" activeCell="D1" sqref="D1"/>
      <selection pane="bottomLeft" activeCell="A6" sqref="A6"/>
      <selection pane="bottomRight" activeCell="H20" sqref="H20"/>
    </sheetView>
  </sheetViews>
  <sheetFormatPr defaultRowHeight="15"/>
  <cols>
    <col min="1" max="1" width="4.7109375" customWidth="1"/>
    <col min="2" max="2" width="39.42578125" customWidth="1"/>
    <col min="3" max="3" width="46.140625" style="137" bestFit="1" customWidth="1"/>
    <col min="4" max="4" width="39.85546875" style="174" bestFit="1" customWidth="1"/>
    <col min="5" max="5" width="44.42578125" bestFit="1" customWidth="1"/>
    <col min="6" max="6" width="49.42578125" bestFit="1" customWidth="1"/>
    <col min="7" max="7" width="58.140625" bestFit="1" customWidth="1"/>
    <col min="8" max="8" width="44.85546875" customWidth="1"/>
    <col min="9" max="9" width="18.28515625" bestFit="1" customWidth="1"/>
    <col min="10" max="11" width="15.5703125" customWidth="1"/>
  </cols>
  <sheetData>
    <row r="1" spans="1:18">
      <c r="A1" s="21" t="s">
        <v>232</v>
      </c>
    </row>
    <row r="2" spans="1:18">
      <c r="B2" s="51" t="s">
        <v>394</v>
      </c>
      <c r="C2" s="143" t="str">
        <f>'Choose Start Date &amp; Duration'!C4</f>
        <v>English</v>
      </c>
    </row>
    <row r="4" spans="1:18" s="179" customFormat="1">
      <c r="A4" s="178" t="s">
        <v>395</v>
      </c>
      <c r="B4" s="179" t="s">
        <v>233</v>
      </c>
      <c r="C4" s="179" t="s">
        <v>234</v>
      </c>
      <c r="D4" s="179" t="s">
        <v>235</v>
      </c>
      <c r="E4" s="179" t="s">
        <v>236</v>
      </c>
      <c r="F4" s="179" t="s">
        <v>295</v>
      </c>
      <c r="G4" s="179" t="s">
        <v>238</v>
      </c>
      <c r="H4" s="179" t="s">
        <v>237</v>
      </c>
      <c r="I4" s="179" t="s">
        <v>296</v>
      </c>
      <c r="J4" s="179" t="s">
        <v>297</v>
      </c>
      <c r="K4" s="179" t="s">
        <v>298</v>
      </c>
    </row>
    <row r="5" spans="1:18">
      <c r="A5" s="2">
        <v>1</v>
      </c>
      <c r="B5" t="str">
        <f>HLOOKUP(C2,C4:K30,2,FALSE)</f>
        <v>School of English - Cost Calculator</v>
      </c>
      <c r="C5" s="137" t="s">
        <v>392</v>
      </c>
      <c r="D5" s="174" t="s">
        <v>393</v>
      </c>
      <c r="E5" s="137" t="s">
        <v>545</v>
      </c>
      <c r="F5" s="137" t="s">
        <v>457</v>
      </c>
      <c r="G5" s="137" t="s">
        <v>548</v>
      </c>
      <c r="H5" s="182" t="s">
        <v>589</v>
      </c>
      <c r="I5" t="s">
        <v>239</v>
      </c>
      <c r="J5" t="s">
        <v>299</v>
      </c>
      <c r="K5" t="s">
        <v>345</v>
      </c>
    </row>
    <row r="6" spans="1:18">
      <c r="A6" s="2">
        <v>2</v>
      </c>
      <c r="B6" t="str">
        <f>HLOOKUP(C2,C4:K30,3,FALSE)</f>
        <v>Version</v>
      </c>
      <c r="C6" s="137" t="s">
        <v>286</v>
      </c>
      <c r="D6" s="174" t="s">
        <v>287</v>
      </c>
      <c r="E6" t="s">
        <v>498</v>
      </c>
      <c r="F6" s="137" t="s">
        <v>458</v>
      </c>
      <c r="G6" s="137" t="s">
        <v>549</v>
      </c>
      <c r="H6" s="182" t="s">
        <v>590</v>
      </c>
      <c r="I6" t="s">
        <v>240</v>
      </c>
      <c r="J6" t="s">
        <v>300</v>
      </c>
      <c r="K6" t="s">
        <v>346</v>
      </c>
    </row>
    <row r="7" spans="1:18">
      <c r="A7" s="2">
        <v>3</v>
      </c>
      <c r="B7" t="str">
        <f>HLOOKUP(C2,C4:K30,4,FALSE)</f>
        <v>(Enter the yellow fields below)</v>
      </c>
      <c r="C7" s="137" t="s">
        <v>83</v>
      </c>
      <c r="D7" s="174" t="s">
        <v>397</v>
      </c>
      <c r="E7" t="s">
        <v>499</v>
      </c>
      <c r="F7" s="137" t="s">
        <v>459</v>
      </c>
      <c r="G7" s="137" t="s">
        <v>550</v>
      </c>
      <c r="H7" s="182" t="s">
        <v>591</v>
      </c>
      <c r="I7" t="s">
        <v>241</v>
      </c>
      <c r="J7" t="s">
        <v>301</v>
      </c>
      <c r="K7" t="s">
        <v>347</v>
      </c>
    </row>
    <row r="8" spans="1:18">
      <c r="A8" s="2">
        <v>4</v>
      </c>
      <c r="B8" t="str">
        <f>HLOOKUP(C2,C4:K30,5,FALSE)</f>
        <v>Campus</v>
      </c>
      <c r="C8" s="137" t="s">
        <v>293</v>
      </c>
      <c r="D8" s="174" t="s">
        <v>285</v>
      </c>
      <c r="E8" t="s">
        <v>500</v>
      </c>
      <c r="F8" s="137" t="s">
        <v>460</v>
      </c>
      <c r="G8" s="137" t="s">
        <v>293</v>
      </c>
      <c r="H8" s="182" t="s">
        <v>293</v>
      </c>
      <c r="I8" t="s">
        <v>242</v>
      </c>
      <c r="J8" t="s">
        <v>302</v>
      </c>
      <c r="K8" t="s">
        <v>348</v>
      </c>
    </row>
    <row r="9" spans="1:18">
      <c r="A9" s="2">
        <v>5</v>
      </c>
      <c r="B9" t="str">
        <f>HLOOKUP(C2,C4:K30,6,FALSE)</f>
        <v xml:space="preserve"> (Choose Christchurch or Timaru)</v>
      </c>
      <c r="C9" s="137" t="s">
        <v>420</v>
      </c>
      <c r="D9" s="174" t="s">
        <v>391</v>
      </c>
      <c r="E9" t="s">
        <v>501</v>
      </c>
      <c r="F9" s="137" t="s">
        <v>461</v>
      </c>
      <c r="G9" s="137" t="s">
        <v>626</v>
      </c>
      <c r="H9" s="182" t="s">
        <v>630</v>
      </c>
      <c r="I9" t="s">
        <v>243</v>
      </c>
      <c r="J9" t="s">
        <v>303</v>
      </c>
      <c r="K9" t="s">
        <v>349</v>
      </c>
      <c r="R9" s="137"/>
    </row>
    <row r="10" spans="1:18">
      <c r="A10" s="2">
        <v>6</v>
      </c>
      <c r="B10" t="str">
        <f>HLOOKUP(C2,C4:K30,7,FALSE)</f>
        <v>Start Date</v>
      </c>
      <c r="C10" s="137" t="s">
        <v>6</v>
      </c>
      <c r="D10" s="174" t="s">
        <v>396</v>
      </c>
      <c r="E10" t="s">
        <v>502</v>
      </c>
      <c r="F10" s="137" t="s">
        <v>462</v>
      </c>
      <c r="G10" s="137" t="s">
        <v>551</v>
      </c>
      <c r="H10" s="182" t="s">
        <v>592</v>
      </c>
      <c r="I10" t="s">
        <v>244</v>
      </c>
      <c r="J10" t="s">
        <v>304</v>
      </c>
      <c r="K10" t="s">
        <v>350</v>
      </c>
    </row>
    <row r="11" spans="1:18">
      <c r="A11" s="2">
        <v>7</v>
      </c>
      <c r="B11" t="str">
        <f>HLOOKUP(C2,C4:K30,8,FALSE)</f>
        <v xml:space="preserve"> (Choose from dropdown list)</v>
      </c>
      <c r="C11" s="137" t="s">
        <v>421</v>
      </c>
      <c r="D11" s="175" t="s">
        <v>398</v>
      </c>
      <c r="E11" t="s">
        <v>503</v>
      </c>
      <c r="F11" s="137" t="s">
        <v>463</v>
      </c>
      <c r="G11" s="137" t="s">
        <v>627</v>
      </c>
      <c r="H11" s="182" t="s">
        <v>631</v>
      </c>
      <c r="I11" t="s">
        <v>245</v>
      </c>
      <c r="J11" t="s">
        <v>305</v>
      </c>
      <c r="K11" t="s">
        <v>351</v>
      </c>
    </row>
    <row r="12" spans="1:18">
      <c r="A12" s="2">
        <v>8</v>
      </c>
      <c r="B12" t="str">
        <f>HLOOKUP(C2,C4:K30,9,FALSE)</f>
        <v>Duration</v>
      </c>
      <c r="C12" s="137" t="s">
        <v>7</v>
      </c>
      <c r="D12" s="175" t="s">
        <v>400</v>
      </c>
      <c r="E12" t="s">
        <v>504</v>
      </c>
      <c r="F12" s="167" t="s">
        <v>539</v>
      </c>
      <c r="G12" s="137" t="s">
        <v>552</v>
      </c>
      <c r="H12" s="182" t="s">
        <v>593</v>
      </c>
      <c r="I12" t="s">
        <v>246</v>
      </c>
      <c r="J12" t="s">
        <v>306</v>
      </c>
      <c r="K12" t="s">
        <v>352</v>
      </c>
    </row>
    <row r="13" spans="1:18">
      <c r="A13" s="2">
        <v>9</v>
      </c>
      <c r="B13" t="str">
        <f>HLOOKUP(C2,C4:K30,10,FALSE)</f>
        <v>or</v>
      </c>
      <c r="C13" s="144" t="s">
        <v>399</v>
      </c>
      <c r="D13" s="176" t="s">
        <v>401</v>
      </c>
      <c r="E13" s="169" t="s">
        <v>505</v>
      </c>
      <c r="F13" s="144" t="s">
        <v>464</v>
      </c>
      <c r="G13" s="144" t="s">
        <v>553</v>
      </c>
      <c r="H13" s="183" t="s">
        <v>594</v>
      </c>
      <c r="I13" t="s">
        <v>247</v>
      </c>
      <c r="J13" t="s">
        <v>307</v>
      </c>
      <c r="K13" t="s">
        <v>353</v>
      </c>
    </row>
    <row r="14" spans="1:18">
      <c r="A14" s="2">
        <v>10</v>
      </c>
      <c r="B14" t="str">
        <f>HLOOKUP(C2,C4:K30,11,FALSE)</f>
        <v>Finish Date</v>
      </c>
      <c r="C14" s="137" t="s">
        <v>69</v>
      </c>
      <c r="D14" s="174" t="s">
        <v>402</v>
      </c>
      <c r="E14" t="s">
        <v>506</v>
      </c>
      <c r="F14" s="137" t="s">
        <v>465</v>
      </c>
      <c r="G14" s="137" t="s">
        <v>554</v>
      </c>
      <c r="H14" s="182" t="s">
        <v>595</v>
      </c>
      <c r="I14" t="s">
        <v>248</v>
      </c>
      <c r="J14" t="s">
        <v>308</v>
      </c>
      <c r="K14" t="s">
        <v>354</v>
      </c>
    </row>
    <row r="15" spans="1:18">
      <c r="A15" s="2">
        <v>11</v>
      </c>
      <c r="B15" t="str">
        <f>HLOOKUP(C2,C4:K30,12,FALSE)</f>
        <v xml:space="preserve"> weeks</v>
      </c>
      <c r="C15" s="137" t="s">
        <v>71</v>
      </c>
      <c r="D15" s="175" t="s">
        <v>403</v>
      </c>
      <c r="E15" t="s">
        <v>507</v>
      </c>
      <c r="F15" s="137" t="s">
        <v>466</v>
      </c>
      <c r="G15" s="137" t="s">
        <v>628</v>
      </c>
      <c r="H15" s="182" t="s">
        <v>628</v>
      </c>
      <c r="I15" t="s">
        <v>249</v>
      </c>
      <c r="J15" t="s">
        <v>309</v>
      </c>
      <c r="K15" t="s">
        <v>355</v>
      </c>
    </row>
    <row r="16" spans="1:18">
      <c r="A16" s="2">
        <v>12</v>
      </c>
      <c r="B16" t="str">
        <f>HLOOKUP(C2,C4:K30,13,FALSE)</f>
        <v xml:space="preserve"> (Minimum 4 weeks)</v>
      </c>
      <c r="C16" s="137" t="s">
        <v>422</v>
      </c>
      <c r="D16" s="174" t="s">
        <v>404</v>
      </c>
      <c r="E16" t="s">
        <v>508</v>
      </c>
      <c r="F16" s="137" t="s">
        <v>467</v>
      </c>
      <c r="G16" s="137" t="s">
        <v>555</v>
      </c>
      <c r="H16" s="182" t="s">
        <v>596</v>
      </c>
      <c r="I16" t="s">
        <v>250</v>
      </c>
      <c r="J16" t="s">
        <v>310</v>
      </c>
      <c r="K16" t="s">
        <v>356</v>
      </c>
    </row>
    <row r="17" spans="1:11">
      <c r="A17" s="2">
        <v>13</v>
      </c>
      <c r="B17" t="str">
        <f>HLOOKUP(C2,C4:K30,14,FALSE)</f>
        <v>Homestay</v>
      </c>
      <c r="C17" s="137" t="s">
        <v>294</v>
      </c>
      <c r="D17" s="174" t="s">
        <v>405</v>
      </c>
      <c r="E17" t="s">
        <v>509</v>
      </c>
      <c r="F17" s="137" t="s">
        <v>468</v>
      </c>
      <c r="G17" s="137" t="s">
        <v>556</v>
      </c>
      <c r="H17" s="182" t="s">
        <v>597</v>
      </c>
      <c r="I17" t="s">
        <v>251</v>
      </c>
      <c r="J17" t="s">
        <v>311</v>
      </c>
      <c r="K17" t="s">
        <v>357</v>
      </c>
    </row>
    <row r="18" spans="1:11">
      <c r="A18" s="2">
        <v>14</v>
      </c>
      <c r="B18" t="str">
        <f>HLOOKUP(C2,C4:K30,15,FALSE)</f>
        <v>(2 meals a day)</v>
      </c>
      <c r="C18" s="137" t="s">
        <v>406</v>
      </c>
      <c r="D18" s="174" t="s">
        <v>407</v>
      </c>
      <c r="E18" t="s">
        <v>510</v>
      </c>
      <c r="F18" s="137" t="s">
        <v>469</v>
      </c>
      <c r="G18" s="137" t="s">
        <v>557</v>
      </c>
      <c r="H18" s="182" t="s">
        <v>598</v>
      </c>
      <c r="I18" t="s">
        <v>252</v>
      </c>
      <c r="J18" t="s">
        <v>312</v>
      </c>
      <c r="K18" t="s">
        <v>358</v>
      </c>
    </row>
    <row r="19" spans="1:11">
      <c r="A19" s="2">
        <v>15</v>
      </c>
      <c r="B19" t="str">
        <f>HLOOKUP(C2,C4:K30,16,FALSE)</f>
        <v xml:space="preserve"> extra days</v>
      </c>
      <c r="C19" s="137" t="s">
        <v>70</v>
      </c>
      <c r="D19" s="174" t="s">
        <v>408</v>
      </c>
      <c r="E19" t="s">
        <v>511</v>
      </c>
      <c r="F19" s="137" t="s">
        <v>470</v>
      </c>
      <c r="G19" s="137" t="s">
        <v>629</v>
      </c>
      <c r="H19" s="182" t="s">
        <v>632</v>
      </c>
      <c r="I19" t="s">
        <v>253</v>
      </c>
      <c r="J19" t="s">
        <v>313</v>
      </c>
      <c r="K19" t="s">
        <v>359</v>
      </c>
    </row>
    <row r="20" spans="1:11">
      <c r="A20" s="2">
        <v>16</v>
      </c>
      <c r="B20" t="str">
        <f>HLOOKUP(C2,C4:K30,17,FALSE)</f>
        <v xml:space="preserve"> (optional)</v>
      </c>
      <c r="C20" s="137" t="s">
        <v>423</v>
      </c>
      <c r="D20" s="174" t="s">
        <v>412</v>
      </c>
      <c r="E20" t="s">
        <v>512</v>
      </c>
      <c r="F20" s="137" t="s">
        <v>471</v>
      </c>
      <c r="G20" s="137" t="s">
        <v>558</v>
      </c>
      <c r="H20" s="182" t="s">
        <v>558</v>
      </c>
      <c r="I20" t="s">
        <v>254</v>
      </c>
      <c r="J20" t="s">
        <v>314</v>
      </c>
      <c r="K20" t="s">
        <v>360</v>
      </c>
    </row>
    <row r="21" spans="1:11">
      <c r="A21" s="2">
        <v>17</v>
      </c>
      <c r="B21" t="str">
        <f>HLOOKUP(C2,C4:K30,18,FALSE)</f>
        <v>Tick this box for a three meal option (lunch included)</v>
      </c>
      <c r="C21" s="137" t="s">
        <v>413</v>
      </c>
      <c r="D21" s="174" t="s">
        <v>414</v>
      </c>
      <c r="E21" t="s">
        <v>513</v>
      </c>
      <c r="F21" s="137" t="s">
        <v>472</v>
      </c>
      <c r="G21" s="137" t="s">
        <v>559</v>
      </c>
      <c r="H21" s="182" t="s">
        <v>599</v>
      </c>
      <c r="I21" t="s">
        <v>255</v>
      </c>
      <c r="J21" t="s">
        <v>315</v>
      </c>
      <c r="K21" t="s">
        <v>361</v>
      </c>
    </row>
    <row r="22" spans="1:11">
      <c r="A22" s="2">
        <v>18</v>
      </c>
      <c r="B22" t="str">
        <f>HLOOKUP(C2,C4:K30,19,FALSE)</f>
        <v>Insurance</v>
      </c>
      <c r="C22" s="137" t="s">
        <v>8</v>
      </c>
      <c r="D22" s="174" t="s">
        <v>415</v>
      </c>
      <c r="E22" s="137" t="s">
        <v>514</v>
      </c>
      <c r="F22" s="137" t="s">
        <v>473</v>
      </c>
      <c r="G22" s="137" t="s">
        <v>560</v>
      </c>
      <c r="H22" s="182" t="s">
        <v>560</v>
      </c>
      <c r="I22" t="s">
        <v>256</v>
      </c>
      <c r="J22" t="s">
        <v>316</v>
      </c>
      <c r="K22" t="s">
        <v>362</v>
      </c>
    </row>
    <row r="23" spans="1:11">
      <c r="A23" s="2">
        <v>19</v>
      </c>
      <c r="B23" t="str">
        <f>HLOOKUP(C2,C4:K30,20,FALSE)</f>
        <v>Organise insurance based on study duration (Default)</v>
      </c>
      <c r="C23" s="137" t="s">
        <v>416</v>
      </c>
      <c r="D23" s="174" t="s">
        <v>417</v>
      </c>
      <c r="E23" t="s">
        <v>515</v>
      </c>
      <c r="F23" s="137" t="s">
        <v>540</v>
      </c>
      <c r="G23" s="137" t="s">
        <v>561</v>
      </c>
      <c r="H23" s="182" t="s">
        <v>600</v>
      </c>
      <c r="I23" t="s">
        <v>257</v>
      </c>
      <c r="J23" t="s">
        <v>317</v>
      </c>
      <c r="K23" t="s">
        <v>363</v>
      </c>
    </row>
    <row r="24" spans="1:11">
      <c r="A24" s="2">
        <v>20</v>
      </c>
      <c r="B24" t="str">
        <f>HLOOKUP(C2,C4:K30,21,FALSE)</f>
        <v>After selections are made, click here to…</v>
      </c>
      <c r="C24" s="137" t="s">
        <v>217</v>
      </c>
      <c r="D24" s="174" t="s">
        <v>419</v>
      </c>
      <c r="E24" t="s">
        <v>516</v>
      </c>
      <c r="F24" s="137" t="s">
        <v>474</v>
      </c>
      <c r="G24" s="137" t="s">
        <v>562</v>
      </c>
      <c r="H24" s="182" t="s">
        <v>601</v>
      </c>
      <c r="I24" t="s">
        <v>258</v>
      </c>
      <c r="J24" t="s">
        <v>318</v>
      </c>
      <c r="K24" t="s">
        <v>364</v>
      </c>
    </row>
    <row r="25" spans="1:11">
      <c r="A25" s="2">
        <v>21</v>
      </c>
      <c r="B25" t="str">
        <f>HLOOKUP(C2,C4:K30,22,FALSE)</f>
        <v>Calculate</v>
      </c>
      <c r="C25" s="137" t="s">
        <v>224</v>
      </c>
      <c r="D25" s="174" t="s">
        <v>418</v>
      </c>
      <c r="E25" t="s">
        <v>517</v>
      </c>
      <c r="F25" s="137" t="s">
        <v>475</v>
      </c>
      <c r="G25" s="137" t="s">
        <v>563</v>
      </c>
      <c r="H25" s="182" t="s">
        <v>563</v>
      </c>
      <c r="I25" t="s">
        <v>259</v>
      </c>
      <c r="J25" t="s">
        <v>319</v>
      </c>
      <c r="K25" t="s">
        <v>365</v>
      </c>
    </row>
    <row r="26" spans="1:11">
      <c r="A26" s="2">
        <v>22</v>
      </c>
      <c r="B26" t="str">
        <f>HLOOKUP(C2,C4:K30,23,FALSE)</f>
        <v>Last Updated</v>
      </c>
      <c r="C26" s="137" t="s">
        <v>424</v>
      </c>
      <c r="D26" s="174" t="s">
        <v>425</v>
      </c>
      <c r="E26" t="s">
        <v>518</v>
      </c>
      <c r="F26" s="137" t="s">
        <v>476</v>
      </c>
      <c r="G26" s="137" t="s">
        <v>564</v>
      </c>
      <c r="H26" s="182" t="s">
        <v>602</v>
      </c>
      <c r="I26" t="s">
        <v>260</v>
      </c>
      <c r="J26" t="s">
        <v>320</v>
      </c>
      <c r="K26" t="s">
        <v>366</v>
      </c>
    </row>
    <row r="27" spans="1:11">
      <c r="A27" s="2">
        <v>23</v>
      </c>
      <c r="B27" t="str">
        <f>HLOOKUP(C2,C4:K30,24,FALSE)</f>
        <v>Cost Estimate</v>
      </c>
      <c r="C27" s="137" t="s">
        <v>131</v>
      </c>
      <c r="D27" s="174" t="s">
        <v>426</v>
      </c>
      <c r="E27" t="s">
        <v>519</v>
      </c>
      <c r="F27" s="137" t="s">
        <v>477</v>
      </c>
      <c r="G27" s="137" t="s">
        <v>565</v>
      </c>
      <c r="H27" s="182" t="s">
        <v>603</v>
      </c>
      <c r="I27" t="s">
        <v>261</v>
      </c>
      <c r="J27" t="s">
        <v>321</v>
      </c>
      <c r="K27" t="s">
        <v>367</v>
      </c>
    </row>
    <row r="28" spans="1:11">
      <c r="A28" s="2">
        <v>24</v>
      </c>
      <c r="B28" t="str">
        <f>HLOOKUP(C2,C4:K30,25,FALSE)</f>
        <v>Item</v>
      </c>
      <c r="C28" s="137" t="s">
        <v>96</v>
      </c>
      <c r="D28" s="174" t="s">
        <v>427</v>
      </c>
      <c r="E28" t="s">
        <v>520</v>
      </c>
      <c r="F28" s="137" t="s">
        <v>478</v>
      </c>
      <c r="G28" s="137" t="s">
        <v>96</v>
      </c>
      <c r="H28" s="182" t="s">
        <v>604</v>
      </c>
      <c r="I28" t="s">
        <v>262</v>
      </c>
      <c r="J28" t="s">
        <v>322</v>
      </c>
      <c r="K28" t="s">
        <v>368</v>
      </c>
    </row>
    <row r="29" spans="1:11">
      <c r="A29" s="2">
        <v>25</v>
      </c>
      <c r="B29" t="str">
        <f>HLOOKUP(C2,C4:K30,26,FALSE)</f>
        <v>Subtotal</v>
      </c>
      <c r="C29" s="137" t="s">
        <v>78</v>
      </c>
      <c r="D29" s="174" t="s">
        <v>428</v>
      </c>
      <c r="E29" t="s">
        <v>521</v>
      </c>
      <c r="F29" s="137" t="s">
        <v>479</v>
      </c>
      <c r="G29" s="137" t="s">
        <v>566</v>
      </c>
      <c r="H29" s="182" t="s">
        <v>605</v>
      </c>
      <c r="I29" t="s">
        <v>263</v>
      </c>
      <c r="J29" t="s">
        <v>323</v>
      </c>
      <c r="K29" t="s">
        <v>369</v>
      </c>
    </row>
    <row r="30" spans="1:11">
      <c r="A30" s="2">
        <v>26</v>
      </c>
      <c r="B30" t="str">
        <f>HLOOKUP(C2,C4:K30,27,FALSE)</f>
        <v>Notes</v>
      </c>
      <c r="C30" s="137" t="s">
        <v>95</v>
      </c>
      <c r="D30" s="174" t="s">
        <v>429</v>
      </c>
      <c r="E30" t="s">
        <v>522</v>
      </c>
      <c r="F30" s="137" t="s">
        <v>480</v>
      </c>
      <c r="G30" s="137" t="s">
        <v>567</v>
      </c>
      <c r="H30" s="182" t="s">
        <v>606</v>
      </c>
      <c r="I30" t="s">
        <v>264</v>
      </c>
      <c r="J30" t="s">
        <v>324</v>
      </c>
      <c r="K30" t="s">
        <v>370</v>
      </c>
    </row>
    <row r="31" spans="1:11">
      <c r="A31" s="2">
        <v>27</v>
      </c>
      <c r="B31" t="str">
        <f>HLOOKUP(C2,C4:K49,28,FALSE)</f>
        <v>Administration fee</v>
      </c>
      <c r="C31" s="137" t="s">
        <v>228</v>
      </c>
      <c r="D31" s="174" t="s">
        <v>431</v>
      </c>
      <c r="E31" t="s">
        <v>523</v>
      </c>
      <c r="F31" s="137" t="s">
        <v>481</v>
      </c>
      <c r="G31" s="137" t="s">
        <v>568</v>
      </c>
      <c r="H31" s="182" t="s">
        <v>607</v>
      </c>
      <c r="I31" t="s">
        <v>265</v>
      </c>
      <c r="J31" t="s">
        <v>325</v>
      </c>
      <c r="K31" t="s">
        <v>371</v>
      </c>
    </row>
    <row r="32" spans="1:11">
      <c r="A32" s="2">
        <v>28</v>
      </c>
      <c r="B32" t="str">
        <f>HLOOKUP(C2,C4:K49,29,FALSE)</f>
        <v>Tuition</v>
      </c>
      <c r="C32" s="137" t="s">
        <v>74</v>
      </c>
      <c r="D32" s="174" t="s">
        <v>432</v>
      </c>
      <c r="E32" t="s">
        <v>524</v>
      </c>
      <c r="F32" s="137" t="s">
        <v>482</v>
      </c>
      <c r="G32" s="137" t="s">
        <v>569</v>
      </c>
      <c r="H32" s="182" t="s">
        <v>608</v>
      </c>
      <c r="I32" t="s">
        <v>266</v>
      </c>
      <c r="J32" t="s">
        <v>326</v>
      </c>
      <c r="K32" t="s">
        <v>372</v>
      </c>
    </row>
    <row r="33" spans="1:11">
      <c r="A33" s="2">
        <v>29</v>
      </c>
      <c r="B33" t="str">
        <f>HLOOKUP(C2,C4:K49,30,FALSE)</f>
        <v>Student services levy</v>
      </c>
      <c r="C33" s="137" t="s">
        <v>430</v>
      </c>
      <c r="D33" s="174" t="s">
        <v>433</v>
      </c>
      <c r="E33" t="s">
        <v>525</v>
      </c>
      <c r="F33" s="137" t="s">
        <v>483</v>
      </c>
      <c r="G33" s="137" t="s">
        <v>570</v>
      </c>
      <c r="H33" s="182" t="s">
        <v>609</v>
      </c>
      <c r="I33" t="s">
        <v>267</v>
      </c>
      <c r="J33" t="s">
        <v>327</v>
      </c>
      <c r="K33" t="s">
        <v>373</v>
      </c>
    </row>
    <row r="34" spans="1:11">
      <c r="A34" s="2">
        <v>30</v>
      </c>
      <c r="B34" t="str">
        <f>HLOOKUP(C2,C4:K49,31,FALSE)</f>
        <v>includes textbook</v>
      </c>
      <c r="C34" s="137" t="s">
        <v>104</v>
      </c>
      <c r="D34" s="174" t="s">
        <v>434</v>
      </c>
      <c r="E34" t="s">
        <v>526</v>
      </c>
      <c r="F34" s="137" t="s">
        <v>484</v>
      </c>
      <c r="G34" s="137" t="s">
        <v>571</v>
      </c>
      <c r="H34" s="182" t="s">
        <v>610</v>
      </c>
      <c r="I34" t="s">
        <v>268</v>
      </c>
      <c r="J34" t="s">
        <v>328</v>
      </c>
      <c r="K34" t="s">
        <v>374</v>
      </c>
    </row>
    <row r="35" spans="1:11">
      <c r="A35" s="2">
        <v>31</v>
      </c>
      <c r="B35" t="str">
        <f>HLOOKUP(C2,C4:K49,32,FALSE)</f>
        <v>Start:</v>
      </c>
      <c r="C35" s="137" t="s">
        <v>435</v>
      </c>
      <c r="D35" s="174" t="s">
        <v>284</v>
      </c>
      <c r="E35" t="s">
        <v>527</v>
      </c>
      <c r="F35" s="137" t="s">
        <v>485</v>
      </c>
      <c r="G35" s="137" t="s">
        <v>572</v>
      </c>
      <c r="H35" s="182" t="s">
        <v>611</v>
      </c>
      <c r="I35" t="s">
        <v>269</v>
      </c>
      <c r="J35" t="s">
        <v>329</v>
      </c>
      <c r="K35" t="s">
        <v>375</v>
      </c>
    </row>
    <row r="36" spans="1:11">
      <c r="A36" s="2">
        <v>32</v>
      </c>
      <c r="B36" t="str">
        <f>HLOOKUP(C2,C4:K49,33,FALSE)</f>
        <v>Finish:</v>
      </c>
      <c r="C36" s="137" t="s">
        <v>436</v>
      </c>
      <c r="D36" s="174" t="s">
        <v>437</v>
      </c>
      <c r="E36" t="s">
        <v>528</v>
      </c>
      <c r="F36" s="137" t="s">
        <v>486</v>
      </c>
      <c r="G36" s="137" t="s">
        <v>573</v>
      </c>
      <c r="H36" s="182" t="s">
        <v>612</v>
      </c>
      <c r="I36" t="s">
        <v>270</v>
      </c>
      <c r="J36" t="s">
        <v>330</v>
      </c>
      <c r="K36" t="s">
        <v>376</v>
      </c>
    </row>
    <row r="37" spans="1:11">
      <c r="A37" s="2">
        <v>33</v>
      </c>
      <c r="B37" t="str">
        <f>HLOOKUP(C2,C4:K49,34,FALSE)</f>
        <v>Homestay placement fee</v>
      </c>
      <c r="C37" s="137" t="s">
        <v>438</v>
      </c>
      <c r="D37" s="174" t="s">
        <v>439</v>
      </c>
      <c r="E37" s="137" t="s">
        <v>529</v>
      </c>
      <c r="F37" s="137" t="s">
        <v>487</v>
      </c>
      <c r="G37" s="137" t="s">
        <v>574</v>
      </c>
      <c r="H37" s="182" t="s">
        <v>613</v>
      </c>
      <c r="I37" t="s">
        <v>271</v>
      </c>
      <c r="J37" t="s">
        <v>331</v>
      </c>
      <c r="K37" t="s">
        <v>377</v>
      </c>
    </row>
    <row r="38" spans="1:11">
      <c r="A38" s="2">
        <v>34</v>
      </c>
      <c r="B38" t="str">
        <f>HLOOKUP(C2,C4:K49,35,FALSE)</f>
        <v>Homestay fee</v>
      </c>
      <c r="C38" s="137" t="s">
        <v>75</v>
      </c>
      <c r="D38" s="174" t="s">
        <v>440</v>
      </c>
      <c r="E38" s="137" t="s">
        <v>530</v>
      </c>
      <c r="F38" s="137" t="s">
        <v>468</v>
      </c>
      <c r="G38" s="137" t="s">
        <v>575</v>
      </c>
      <c r="H38" s="182" t="s">
        <v>614</v>
      </c>
      <c r="I38" t="s">
        <v>272</v>
      </c>
      <c r="J38" t="s">
        <v>332</v>
      </c>
      <c r="K38" t="s">
        <v>378</v>
      </c>
    </row>
    <row r="39" spans="1:11">
      <c r="A39" s="2">
        <v>35</v>
      </c>
      <c r="B39" t="str">
        <f>HLOOKUP(C2,C4:K49,36,FALSE)</f>
        <v>includes airport pickup</v>
      </c>
      <c r="C39" s="137" t="s">
        <v>76</v>
      </c>
      <c r="D39" s="174" t="s">
        <v>441</v>
      </c>
      <c r="E39" t="s">
        <v>531</v>
      </c>
      <c r="F39" s="137" t="s">
        <v>488</v>
      </c>
      <c r="G39" s="137" t="s">
        <v>576</v>
      </c>
      <c r="H39" s="182" t="s">
        <v>615</v>
      </c>
      <c r="I39" t="s">
        <v>273</v>
      </c>
      <c r="J39" t="s">
        <v>333</v>
      </c>
      <c r="K39" t="s">
        <v>379</v>
      </c>
    </row>
    <row r="40" spans="1:11">
      <c r="A40" s="2">
        <v>36</v>
      </c>
      <c r="B40" t="str">
        <f>HLOOKUP(C2,C4:K49,37,FALSE)</f>
        <v>includes</v>
      </c>
      <c r="C40" s="115" t="s">
        <v>442</v>
      </c>
      <c r="D40" s="174" t="s">
        <v>443</v>
      </c>
      <c r="E40" s="137" t="s">
        <v>546</v>
      </c>
      <c r="F40" s="166" t="s">
        <v>489</v>
      </c>
      <c r="G40" s="115" t="s">
        <v>577</v>
      </c>
      <c r="H40" s="182" t="s">
        <v>616</v>
      </c>
      <c r="I40" t="s">
        <v>274</v>
      </c>
      <c r="J40" t="s">
        <v>334</v>
      </c>
      <c r="K40" t="s">
        <v>380</v>
      </c>
    </row>
    <row r="41" spans="1:11">
      <c r="A41" s="2">
        <v>37</v>
      </c>
      <c r="B41" t="str">
        <f>HLOOKUP(C2,C4:K49,38,FALSE)</f>
        <v>meals a day</v>
      </c>
      <c r="C41" s="115" t="s">
        <v>456</v>
      </c>
      <c r="D41" s="174" t="s">
        <v>444</v>
      </c>
      <c r="E41" s="137" t="s">
        <v>547</v>
      </c>
      <c r="F41" s="166" t="s">
        <v>490</v>
      </c>
      <c r="G41" s="115" t="s">
        <v>578</v>
      </c>
      <c r="H41" s="182" t="s">
        <v>617</v>
      </c>
      <c r="I41" t="s">
        <v>275</v>
      </c>
      <c r="J41" t="s">
        <v>335</v>
      </c>
      <c r="K41" t="s">
        <v>381</v>
      </c>
    </row>
    <row r="42" spans="1:11">
      <c r="A42" s="2">
        <v>38</v>
      </c>
      <c r="B42" t="str">
        <f>HLOOKUP(C2,C4:K49,39,FALSE)</f>
        <v>days</v>
      </c>
      <c r="C42" s="137" t="s">
        <v>445</v>
      </c>
      <c r="D42" s="174" t="s">
        <v>446</v>
      </c>
      <c r="E42" t="s">
        <v>532</v>
      </c>
      <c r="F42" s="137" t="s">
        <v>446</v>
      </c>
      <c r="G42" s="137" t="s">
        <v>579</v>
      </c>
      <c r="H42" s="182" t="s">
        <v>579</v>
      </c>
      <c r="I42" t="s">
        <v>276</v>
      </c>
      <c r="J42" t="s">
        <v>336</v>
      </c>
      <c r="K42" t="s">
        <v>382</v>
      </c>
    </row>
    <row r="43" spans="1:11">
      <c r="A43" s="2">
        <v>39</v>
      </c>
      <c r="B43" t="str">
        <f>HLOOKUP(C2,C4:K49,40,FALSE)</f>
        <v>Bank fee</v>
      </c>
      <c r="C43" s="137" t="s">
        <v>67</v>
      </c>
      <c r="D43" s="174" t="s">
        <v>447</v>
      </c>
      <c r="E43" t="s">
        <v>533</v>
      </c>
      <c r="F43" s="137" t="s">
        <v>491</v>
      </c>
      <c r="G43" s="137" t="s">
        <v>580</v>
      </c>
      <c r="H43" s="182" t="s">
        <v>618</v>
      </c>
      <c r="I43" t="s">
        <v>277</v>
      </c>
      <c r="J43" t="s">
        <v>337</v>
      </c>
      <c r="K43" t="s">
        <v>383</v>
      </c>
    </row>
    <row r="44" spans="1:11">
      <c r="A44" s="2">
        <v>40</v>
      </c>
      <c r="B44" t="str">
        <f>HLOOKUP(C2,C4:K103,41,FALSE)</f>
        <v>if paying by T/T (telegraphic transfer)</v>
      </c>
      <c r="C44" s="137" t="s">
        <v>77</v>
      </c>
      <c r="D44" s="174" t="s">
        <v>448</v>
      </c>
      <c r="E44" t="s">
        <v>534</v>
      </c>
      <c r="F44" s="137" t="s">
        <v>492</v>
      </c>
      <c r="G44" s="137" t="s">
        <v>581</v>
      </c>
      <c r="H44" s="182" t="s">
        <v>619</v>
      </c>
      <c r="I44" t="s">
        <v>278</v>
      </c>
      <c r="J44" t="s">
        <v>338</v>
      </c>
      <c r="K44" t="s">
        <v>384</v>
      </c>
    </row>
    <row r="45" spans="1:11">
      <c r="A45" s="2">
        <v>41</v>
      </c>
      <c r="B45" t="str">
        <f>HLOOKUP(C2,C4:K103,42,FALSE)</f>
        <v>Total (NZD)</v>
      </c>
      <c r="C45" s="137" t="s">
        <v>94</v>
      </c>
      <c r="D45" s="174" t="s">
        <v>449</v>
      </c>
      <c r="E45" t="s">
        <v>535</v>
      </c>
      <c r="F45" s="137" t="s">
        <v>493</v>
      </c>
      <c r="G45" s="137" t="s">
        <v>582</v>
      </c>
      <c r="H45" s="182" t="s">
        <v>620</v>
      </c>
      <c r="I45" t="s">
        <v>279</v>
      </c>
      <c r="J45" t="s">
        <v>339</v>
      </c>
      <c r="K45" t="s">
        <v>385</v>
      </c>
    </row>
    <row r="46" spans="1:11">
      <c r="A46" s="2">
        <v>42</v>
      </c>
      <c r="B46" t="str">
        <f>HLOOKUP(C2,C4:K103,43,FALSE)</f>
        <v>Exchange rate</v>
      </c>
      <c r="C46" s="137" t="s">
        <v>97</v>
      </c>
      <c r="D46" s="174" t="s">
        <v>451</v>
      </c>
      <c r="E46" t="s">
        <v>536</v>
      </c>
      <c r="F46" s="137" t="s">
        <v>494</v>
      </c>
      <c r="G46" s="137" t="s">
        <v>583</v>
      </c>
      <c r="H46" s="182" t="s">
        <v>621</v>
      </c>
      <c r="I46" t="s">
        <v>280</v>
      </c>
      <c r="J46" t="s">
        <v>340</v>
      </c>
      <c r="K46" t="s">
        <v>386</v>
      </c>
    </row>
    <row r="47" spans="1:11">
      <c r="A47" s="2">
        <v>43</v>
      </c>
      <c r="B47" t="str">
        <f>HLOOKUP(C2,C4:K103,44,FALSE)</f>
        <v>Foreign currency</v>
      </c>
      <c r="C47" s="137" t="s">
        <v>450</v>
      </c>
      <c r="D47" s="174" t="s">
        <v>452</v>
      </c>
      <c r="E47" t="s">
        <v>537</v>
      </c>
      <c r="F47" s="137" t="s">
        <v>495</v>
      </c>
      <c r="G47" s="137" t="s">
        <v>584</v>
      </c>
      <c r="H47" s="182" t="s">
        <v>622</v>
      </c>
      <c r="I47" t="s">
        <v>281</v>
      </c>
      <c r="J47" t="s">
        <v>341</v>
      </c>
      <c r="K47" t="s">
        <v>387</v>
      </c>
    </row>
    <row r="48" spans="1:11">
      <c r="A48" s="2">
        <v>44</v>
      </c>
      <c r="B48" t="str">
        <f>HLOOKUP(C2,C4:K103,45,FALSE)</f>
        <v>(Enter a NZ$ to foreign currency rate)</v>
      </c>
      <c r="C48" s="137" t="s">
        <v>103</v>
      </c>
      <c r="D48" s="174" t="s">
        <v>453</v>
      </c>
      <c r="E48" t="s">
        <v>538</v>
      </c>
      <c r="F48" s="137" t="s">
        <v>496</v>
      </c>
      <c r="G48" s="137" t="s">
        <v>585</v>
      </c>
      <c r="H48" s="182" t="s">
        <v>623</v>
      </c>
      <c r="I48" t="s">
        <v>282</v>
      </c>
      <c r="J48" t="s">
        <v>342</v>
      </c>
      <c r="K48" t="s">
        <v>388</v>
      </c>
    </row>
    <row r="49" spans="1:11">
      <c r="A49" s="2">
        <v>45</v>
      </c>
      <c r="B49" t="str">
        <f>HLOOKUP(C2,C4:K103,46,FALSE)</f>
        <v>Latest version:</v>
      </c>
      <c r="C49" s="137" t="s">
        <v>454</v>
      </c>
      <c r="D49" s="174" t="s">
        <v>455</v>
      </c>
      <c r="E49" t="s">
        <v>518</v>
      </c>
      <c r="F49" s="137" t="s">
        <v>497</v>
      </c>
      <c r="G49" s="137" t="s">
        <v>586</v>
      </c>
      <c r="H49" s="182" t="s">
        <v>624</v>
      </c>
      <c r="I49" t="s">
        <v>283</v>
      </c>
      <c r="J49" t="s">
        <v>343</v>
      </c>
      <c r="K49" t="s">
        <v>389</v>
      </c>
    </row>
    <row r="50" spans="1:11" s="171" customFormat="1" ht="45">
      <c r="A50" s="170">
        <v>46</v>
      </c>
      <c r="B50" s="171" t="str">
        <f>HLOOKUP(C2,C4:K103,47,FALSE)</f>
        <v xml:space="preserve">Note:  This is an estimate only.  
For a final quote please refer to the Statement of Fees. </v>
      </c>
      <c r="C50" s="172" t="s">
        <v>543</v>
      </c>
      <c r="D50" s="177" t="s">
        <v>544</v>
      </c>
      <c r="E50" s="172" t="s">
        <v>588</v>
      </c>
      <c r="F50" s="172" t="s">
        <v>541</v>
      </c>
      <c r="G50" s="172" t="s">
        <v>587</v>
      </c>
      <c r="H50" s="184" t="s">
        <v>625</v>
      </c>
      <c r="I50" s="171" t="s">
        <v>542</v>
      </c>
      <c r="J50" s="171" t="s">
        <v>344</v>
      </c>
      <c r="K50" s="171" t="s">
        <v>390</v>
      </c>
    </row>
    <row r="51" spans="1:11">
      <c r="A51" s="2">
        <v>47</v>
      </c>
      <c r="B51" t="str">
        <f>HLOOKUP(C2,C4:K103,48,FALSE)</f>
        <v>-</v>
      </c>
      <c r="C51" s="137" t="s">
        <v>14</v>
      </c>
      <c r="E51" s="138"/>
      <c r="G51" s="137"/>
    </row>
    <row r="52" spans="1:11">
      <c r="A52" s="2">
        <v>48</v>
      </c>
      <c r="B52" t="str">
        <f>HLOOKUP(C2,C4:K103,49,FALSE)</f>
        <v>-</v>
      </c>
      <c r="C52" s="137" t="s">
        <v>14</v>
      </c>
      <c r="E52" s="138"/>
      <c r="G52" s="137"/>
    </row>
    <row r="53" spans="1:11">
      <c r="A53" s="2">
        <v>49</v>
      </c>
      <c r="B53" t="s">
        <v>14</v>
      </c>
      <c r="C53" s="137" t="s">
        <v>14</v>
      </c>
      <c r="E53" s="138"/>
      <c r="G53" s="137"/>
    </row>
    <row r="54" spans="1:11">
      <c r="A54" s="2">
        <v>50</v>
      </c>
      <c r="B54" t="s">
        <v>14</v>
      </c>
      <c r="C54" s="137" t="s">
        <v>14</v>
      </c>
      <c r="E54" s="138"/>
      <c r="G54" s="137"/>
    </row>
    <row r="55" spans="1:11">
      <c r="A55" s="2">
        <v>51</v>
      </c>
      <c r="E55" s="138"/>
      <c r="G55" s="137"/>
    </row>
    <row r="56" spans="1:11">
      <c r="A56" s="2">
        <v>52</v>
      </c>
      <c r="E56" s="138"/>
      <c r="G56" s="173"/>
    </row>
    <row r="57" spans="1:11">
      <c r="A57" s="2">
        <v>53</v>
      </c>
      <c r="E57" s="138"/>
    </row>
    <row r="58" spans="1:11">
      <c r="A58" s="2">
        <v>54</v>
      </c>
      <c r="E58" s="138"/>
    </row>
    <row r="59" spans="1:11">
      <c r="A59" s="2">
        <v>55</v>
      </c>
      <c r="E59" s="138"/>
    </row>
    <row r="60" spans="1:11">
      <c r="A60" s="2">
        <v>56</v>
      </c>
      <c r="E60" s="138"/>
    </row>
    <row r="61" spans="1:11">
      <c r="A61" s="2">
        <v>57</v>
      </c>
      <c r="E61" s="138"/>
    </row>
    <row r="62" spans="1:11">
      <c r="A62" s="2">
        <v>58</v>
      </c>
      <c r="E62" s="138"/>
    </row>
    <row r="63" spans="1:11">
      <c r="A63" s="2">
        <v>59</v>
      </c>
      <c r="E63" s="138"/>
    </row>
    <row r="64" spans="1:11">
      <c r="A64" s="2">
        <v>60</v>
      </c>
      <c r="E64" s="138"/>
    </row>
    <row r="65" spans="1:5">
      <c r="A65" s="2">
        <v>61</v>
      </c>
      <c r="E65" s="138"/>
    </row>
    <row r="66" spans="1:5">
      <c r="A66" s="2">
        <v>62</v>
      </c>
      <c r="E66" s="138"/>
    </row>
    <row r="67" spans="1:5">
      <c r="A67" s="2">
        <v>63</v>
      </c>
      <c r="E67" s="138"/>
    </row>
    <row r="68" spans="1:5">
      <c r="A68" s="2">
        <v>64</v>
      </c>
      <c r="E68" s="138"/>
    </row>
    <row r="69" spans="1:5">
      <c r="A69" s="2">
        <v>65</v>
      </c>
      <c r="D69" s="175"/>
      <c r="E69" s="138"/>
    </row>
    <row r="70" spans="1:5">
      <c r="A70" s="2">
        <v>66</v>
      </c>
      <c r="D70" s="175"/>
      <c r="E70" s="138"/>
    </row>
    <row r="71" spans="1:5">
      <c r="A71" s="2">
        <v>67</v>
      </c>
      <c r="D71" s="175"/>
      <c r="E71" s="138"/>
    </row>
    <row r="72" spans="1:5">
      <c r="A72" s="2">
        <v>68</v>
      </c>
      <c r="D72" s="175"/>
      <c r="E72" s="138"/>
    </row>
    <row r="73" spans="1:5">
      <c r="A73" s="2">
        <v>69</v>
      </c>
      <c r="D73" s="175"/>
      <c r="E73" s="138"/>
    </row>
    <row r="74" spans="1:5">
      <c r="A74" s="2">
        <v>70</v>
      </c>
      <c r="D74" s="175"/>
      <c r="E74" s="138"/>
    </row>
    <row r="75" spans="1:5">
      <c r="A75" s="2">
        <v>71</v>
      </c>
      <c r="D75" s="175"/>
      <c r="E75" s="138"/>
    </row>
    <row r="76" spans="1:5">
      <c r="A76" s="2">
        <v>72</v>
      </c>
      <c r="D76" s="175"/>
      <c r="E76" s="138"/>
    </row>
    <row r="77" spans="1:5">
      <c r="A77" s="2">
        <v>73</v>
      </c>
      <c r="D77" s="175"/>
      <c r="E77" s="138"/>
    </row>
    <row r="78" spans="1:5">
      <c r="A78" s="2">
        <v>74</v>
      </c>
      <c r="D78" s="175"/>
      <c r="E78" s="138"/>
    </row>
    <row r="79" spans="1:5">
      <c r="A79" s="2">
        <v>75</v>
      </c>
      <c r="D79" s="175"/>
      <c r="E79" s="138"/>
    </row>
    <row r="80" spans="1:5">
      <c r="A80" s="2">
        <v>76</v>
      </c>
      <c r="D80" s="175"/>
      <c r="E80" s="138"/>
    </row>
    <row r="81" spans="1:5">
      <c r="A81" s="2">
        <v>77</v>
      </c>
      <c r="D81" s="175"/>
      <c r="E81" s="138"/>
    </row>
    <row r="82" spans="1:5">
      <c r="A82" s="2">
        <v>78</v>
      </c>
      <c r="D82" s="175"/>
      <c r="E82" s="138"/>
    </row>
    <row r="83" spans="1:5">
      <c r="A83" s="2">
        <v>79</v>
      </c>
      <c r="D83" s="175"/>
      <c r="E83" s="138"/>
    </row>
    <row r="84" spans="1:5">
      <c r="A84" s="2">
        <v>80</v>
      </c>
      <c r="D84" s="175"/>
      <c r="E84" s="138"/>
    </row>
    <row r="85" spans="1:5">
      <c r="A85" s="2">
        <v>81</v>
      </c>
      <c r="D85" s="175"/>
      <c r="E85" s="138"/>
    </row>
    <row r="86" spans="1:5">
      <c r="A86" s="2">
        <v>82</v>
      </c>
      <c r="D86" s="175"/>
      <c r="E86" s="138"/>
    </row>
    <row r="87" spans="1:5">
      <c r="A87" s="2">
        <v>83</v>
      </c>
      <c r="D87" s="175"/>
      <c r="E87" s="138"/>
    </row>
    <row r="88" spans="1:5">
      <c r="A88" s="2">
        <v>84</v>
      </c>
      <c r="D88" s="175"/>
      <c r="E88" s="138"/>
    </row>
    <row r="89" spans="1:5">
      <c r="A89" s="2">
        <v>85</v>
      </c>
      <c r="D89" s="175"/>
      <c r="E89" s="138"/>
    </row>
    <row r="90" spans="1:5">
      <c r="A90" s="2">
        <v>86</v>
      </c>
      <c r="D90" s="175"/>
      <c r="E90" s="138"/>
    </row>
    <row r="91" spans="1:5">
      <c r="A91" s="2">
        <v>87</v>
      </c>
      <c r="D91" s="175"/>
      <c r="E91" s="138"/>
    </row>
    <row r="92" spans="1:5">
      <c r="A92" s="2">
        <v>88</v>
      </c>
      <c r="D92" s="175"/>
      <c r="E92" s="138"/>
    </row>
    <row r="93" spans="1:5">
      <c r="A93" s="2">
        <v>89</v>
      </c>
      <c r="E93" s="138"/>
    </row>
    <row r="94" spans="1:5">
      <c r="A94" s="2">
        <v>90</v>
      </c>
      <c r="E94" s="138"/>
    </row>
    <row r="95" spans="1:5">
      <c r="A95" s="2">
        <v>91</v>
      </c>
      <c r="E95" s="138"/>
    </row>
    <row r="96" spans="1:5">
      <c r="A96" s="2">
        <v>92</v>
      </c>
      <c r="E96" s="138"/>
    </row>
    <row r="97" spans="1:5">
      <c r="A97" s="2">
        <v>93</v>
      </c>
      <c r="E97" s="138"/>
    </row>
    <row r="98" spans="1:5">
      <c r="A98" s="2">
        <v>94</v>
      </c>
      <c r="E98" s="138"/>
    </row>
    <row r="99" spans="1:5">
      <c r="A99" s="2">
        <v>95</v>
      </c>
      <c r="E99" s="138"/>
    </row>
    <row r="100" spans="1:5">
      <c r="A100" s="2">
        <v>96</v>
      </c>
      <c r="E100" s="138"/>
    </row>
    <row r="101" spans="1:5">
      <c r="A101" s="2">
        <v>97</v>
      </c>
      <c r="E101" s="138"/>
    </row>
    <row r="102" spans="1:5">
      <c r="A102" s="2">
        <v>98</v>
      </c>
      <c r="E102" s="138"/>
    </row>
    <row r="103" spans="1:5">
      <c r="A103" s="2">
        <v>99</v>
      </c>
      <c r="E103" s="138"/>
    </row>
    <row r="104" spans="1:5">
      <c r="A104" s="2">
        <v>100</v>
      </c>
      <c r="E104" s="138"/>
    </row>
    <row r="105" spans="1:5">
      <c r="A105" s="2"/>
    </row>
    <row r="106" spans="1:5">
      <c r="A106" s="2"/>
    </row>
    <row r="107" spans="1:5">
      <c r="A107" s="2"/>
    </row>
    <row r="108" spans="1:5">
      <c r="A108" s="2"/>
    </row>
    <row r="109" spans="1:5">
      <c r="A109" s="2"/>
    </row>
    <row r="110" spans="1:5">
      <c r="A110" s="2"/>
    </row>
    <row r="111" spans="1:5">
      <c r="A111"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2"/>
  <sheetViews>
    <sheetView zoomScale="80" zoomScaleNormal="80" workbookViewId="0">
      <selection activeCell="I12" sqref="I12"/>
    </sheetView>
  </sheetViews>
  <sheetFormatPr defaultRowHeight="15"/>
  <cols>
    <col min="1" max="1" width="4.85546875" customWidth="1"/>
    <col min="4" max="4" width="11.42578125" customWidth="1"/>
    <col min="5" max="5" width="17.5703125" customWidth="1"/>
    <col min="6" max="6" width="3.42578125" customWidth="1"/>
    <col min="7" max="7" width="14.5703125" customWidth="1"/>
    <col min="8" max="8" width="13.42578125" customWidth="1"/>
    <col min="9" max="9" width="9.28515625" customWidth="1"/>
  </cols>
  <sheetData>
    <row r="2" spans="1:4">
      <c r="A2" t="s">
        <v>40</v>
      </c>
    </row>
    <row r="3" spans="1:4">
      <c r="A3" s="21" t="s">
        <v>41</v>
      </c>
    </row>
    <row r="4" spans="1:4" s="44" customFormat="1" ht="12.75">
      <c r="A4" s="44" t="s">
        <v>54</v>
      </c>
    </row>
    <row r="5" spans="1:4" s="44" customFormat="1" ht="12.75">
      <c r="A5" s="44" t="s">
        <v>55</v>
      </c>
    </row>
    <row r="6" spans="1:4" s="44" customFormat="1" ht="12.75">
      <c r="A6" s="44" t="s">
        <v>175</v>
      </c>
    </row>
    <row r="7" spans="1:4" s="44" customFormat="1" ht="12.75">
      <c r="A7" s="44" t="s">
        <v>176</v>
      </c>
    </row>
    <row r="9" spans="1:4" ht="15.75">
      <c r="A9" s="22" t="s">
        <v>150</v>
      </c>
    </row>
    <row r="10" spans="1:4">
      <c r="A10" s="230">
        <f ca="1">Application!C4</f>
        <v>43664.703414467593</v>
      </c>
      <c r="B10" s="230"/>
      <c r="C10" s="230"/>
    </row>
    <row r="12" spans="1:4">
      <c r="B12" s="26" t="e">
        <f>#REF!</f>
        <v>#REF!</v>
      </c>
      <c r="C12" s="26"/>
      <c r="D12" s="26"/>
    </row>
    <row r="13" spans="1:4">
      <c r="B13" s="26" t="str">
        <f>Application!C11</f>
        <v>1F No 6 Lane 20</v>
      </c>
      <c r="C13" s="26"/>
      <c r="D13" s="26"/>
    </row>
    <row r="14" spans="1:4">
      <c r="B14" s="26" t="str">
        <f>Application!C12</f>
        <v>Hsinte Road</v>
      </c>
      <c r="C14" s="26"/>
      <c r="D14" s="26"/>
    </row>
    <row r="15" spans="1:4">
      <c r="B15" s="26" t="str">
        <f>Application!C13</f>
        <v>Taipei 116</v>
      </c>
      <c r="C15" s="26"/>
      <c r="D15" s="26"/>
    </row>
    <row r="16" spans="1:4">
      <c r="B16" s="26" t="str">
        <f>Application!C14</f>
        <v>Taiwan, Province of China</v>
      </c>
      <c r="C16" s="26"/>
      <c r="D16" s="26"/>
    </row>
    <row r="18" spans="1:8" ht="21">
      <c r="C18" s="3" t="s">
        <v>10</v>
      </c>
      <c r="G18" s="25" t="s">
        <v>11</v>
      </c>
      <c r="H18" s="28">
        <f>Application!C16</f>
        <v>99135898</v>
      </c>
    </row>
    <row r="20" spans="1:8">
      <c r="A20" s="17" t="s">
        <v>12</v>
      </c>
      <c r="B20" s="5"/>
      <c r="C20" s="5"/>
      <c r="D20" s="5"/>
      <c r="E20" s="5"/>
      <c r="F20" s="5"/>
      <c r="G20" s="5"/>
      <c r="H20" s="18" t="s">
        <v>13</v>
      </c>
    </row>
    <row r="21" spans="1:8">
      <c r="A21" s="4" t="s">
        <v>177</v>
      </c>
      <c r="B21" s="5"/>
      <c r="C21" s="5"/>
      <c r="D21" s="5"/>
      <c r="E21" s="27">
        <f>Application!C36</f>
        <v>42387</v>
      </c>
      <c r="F21" s="11" t="s">
        <v>14</v>
      </c>
      <c r="G21" s="29" t="e">
        <f>'Dates &amp; Fees'!#REF!</f>
        <v>#REF!</v>
      </c>
      <c r="H21" s="32">
        <f>'Dates &amp; Fees'!G4*Application!C38</f>
        <v>11700</v>
      </c>
    </row>
    <row r="22" spans="1:8">
      <c r="A22" s="12" t="s">
        <v>15</v>
      </c>
      <c r="B22" s="13"/>
      <c r="C22" s="13"/>
      <c r="D22" s="13"/>
      <c r="E22" s="13"/>
      <c r="F22" s="13"/>
      <c r="G22" s="13"/>
      <c r="H22" s="32">
        <f>IF(Application!C38&gt;0, 'Dates &amp; Fees'!G5, 0)</f>
        <v>250</v>
      </c>
    </row>
    <row r="23" spans="1:8">
      <c r="A23" s="12" t="s">
        <v>47</v>
      </c>
      <c r="B23" s="13"/>
      <c r="C23" s="13"/>
      <c r="D23" s="13"/>
      <c r="E23" s="13"/>
      <c r="F23" s="13"/>
      <c r="G23" s="13"/>
      <c r="H23" s="33">
        <f>IF(Application!C41 &gt; 0, 'Dates &amp; Fees'!G9, 0)</f>
        <v>320</v>
      </c>
    </row>
    <row r="24" spans="1:8">
      <c r="A24" s="12" t="s">
        <v>16</v>
      </c>
      <c r="B24" s="13"/>
      <c r="C24" s="13"/>
      <c r="D24" s="13"/>
      <c r="E24" s="13"/>
      <c r="F24" s="31" t="str">
        <f>Application!C41 &amp; " weeks"</f>
        <v>12 weeks</v>
      </c>
      <c r="G24" s="13"/>
      <c r="H24" s="33">
        <f>Application!C41*'Dates &amp; Fees'!G10</f>
        <v>3192</v>
      </c>
    </row>
    <row r="25" spans="1:8">
      <c r="A25" s="9" t="s">
        <v>178</v>
      </c>
      <c r="B25" s="10"/>
      <c r="C25" s="10"/>
      <c r="E25" s="10"/>
      <c r="F25" s="30" t="str">
        <f>Application!C40</f>
        <v>7 months</v>
      </c>
      <c r="H25" s="33">
        <f>VLOOKUP(F25,'Dates &amp; Fees'!B7:D19,2,FALSE)</f>
        <v>28</v>
      </c>
    </row>
    <row r="26" spans="1:8">
      <c r="A26" s="9" t="s">
        <v>17</v>
      </c>
      <c r="B26" s="10"/>
      <c r="C26" s="10"/>
      <c r="D26" s="10"/>
      <c r="E26" s="10"/>
      <c r="F26" s="10"/>
      <c r="G26" s="10"/>
      <c r="H26" s="34">
        <v>30</v>
      </c>
    </row>
    <row r="27" spans="1:8">
      <c r="A27" s="19" t="s">
        <v>18</v>
      </c>
      <c r="B27" s="10"/>
      <c r="C27" s="10"/>
      <c r="D27" s="10"/>
      <c r="E27" s="10"/>
      <c r="F27" s="10"/>
      <c r="G27" s="10"/>
      <c r="H27" s="35">
        <f>SUM(H21:H26)</f>
        <v>15520</v>
      </c>
    </row>
    <row r="28" spans="1:8">
      <c r="A28" s="20" t="s">
        <v>19</v>
      </c>
      <c r="B28" s="10"/>
      <c r="C28" s="10"/>
      <c r="D28" s="10"/>
      <c r="E28" s="10"/>
      <c r="F28" s="10"/>
      <c r="G28" s="10"/>
      <c r="H28" s="14" t="s">
        <v>179</v>
      </c>
    </row>
    <row r="30" spans="1:8" s="108" customFormat="1" ht="12">
      <c r="A30" s="130" t="s">
        <v>210</v>
      </c>
    </row>
    <row r="31" spans="1:8" s="108" customFormat="1" ht="12">
      <c r="A31" s="108" t="s">
        <v>181</v>
      </c>
    </row>
    <row r="32" spans="1:8" s="108" customFormat="1" ht="12">
      <c r="A32" s="108" t="s">
        <v>182</v>
      </c>
    </row>
    <row r="33" spans="1:8" ht="9.9499999999999993" customHeight="1">
      <c r="A33" s="10"/>
      <c r="B33" s="10"/>
      <c r="C33" s="10"/>
      <c r="D33" s="10"/>
      <c r="E33" s="10"/>
      <c r="F33" s="10"/>
      <c r="G33" s="10"/>
      <c r="H33" s="10"/>
    </row>
    <row r="34" spans="1:8" ht="9.9499999999999993" customHeight="1"/>
    <row r="35" spans="1:8">
      <c r="A35" t="s">
        <v>20</v>
      </c>
    </row>
    <row r="37" spans="1:8">
      <c r="A37" t="s">
        <v>21</v>
      </c>
      <c r="E37" t="s">
        <v>180</v>
      </c>
    </row>
    <row r="38" spans="1:8">
      <c r="A38" t="s">
        <v>183</v>
      </c>
      <c r="E38" t="s">
        <v>184</v>
      </c>
    </row>
    <row r="39" spans="1:8">
      <c r="E39" t="s">
        <v>185</v>
      </c>
    </row>
    <row r="40" spans="1:8">
      <c r="E40" t="s">
        <v>186</v>
      </c>
    </row>
    <row r="41" spans="1:8">
      <c r="E41" t="s">
        <v>211</v>
      </c>
    </row>
    <row r="42" spans="1:8">
      <c r="E42" t="s">
        <v>187</v>
      </c>
      <c r="F42" s="26" t="e">
        <f>H18 &amp; " " &amp; B12</f>
        <v>#REF!</v>
      </c>
      <c r="G42" s="26"/>
    </row>
    <row r="43" spans="1:8">
      <c r="E43" t="s">
        <v>188</v>
      </c>
    </row>
    <row r="44" spans="1:8" ht="9.9499999999999993" customHeight="1"/>
    <row r="45" spans="1:8">
      <c r="A45" t="s">
        <v>22</v>
      </c>
      <c r="D45" t="s">
        <v>189</v>
      </c>
    </row>
    <row r="46" spans="1:8" ht="9.9499999999999993" customHeight="1"/>
    <row r="47" spans="1:8">
      <c r="D47" t="s">
        <v>190</v>
      </c>
    </row>
    <row r="48" spans="1:8">
      <c r="A48" t="s">
        <v>23</v>
      </c>
      <c r="D48" s="4"/>
      <c r="E48" s="5"/>
      <c r="F48" s="5"/>
      <c r="G48" s="5"/>
      <c r="H48" s="6"/>
    </row>
    <row r="49" spans="1:8">
      <c r="D49" s="7" t="s">
        <v>42</v>
      </c>
      <c r="E49" s="8"/>
      <c r="F49" s="10"/>
      <c r="G49" s="10"/>
      <c r="H49" s="16"/>
    </row>
    <row r="50" spans="1:8" ht="9.9499999999999993" customHeight="1">
      <c r="D50" s="7"/>
      <c r="E50" s="8"/>
      <c r="F50" s="8"/>
      <c r="G50" s="8"/>
      <c r="H50" s="15"/>
    </row>
    <row r="51" spans="1:8">
      <c r="D51" s="7" t="s">
        <v>46</v>
      </c>
      <c r="E51" s="8"/>
      <c r="F51" s="10"/>
      <c r="G51" s="10"/>
      <c r="H51" s="16"/>
    </row>
    <row r="52" spans="1:8" ht="9.9499999999999993" customHeight="1">
      <c r="D52" s="7"/>
      <c r="E52" s="8"/>
      <c r="F52" s="8"/>
      <c r="G52" s="8"/>
      <c r="H52" s="15"/>
    </row>
    <row r="53" spans="1:8">
      <c r="D53" s="7" t="s">
        <v>43</v>
      </c>
      <c r="E53" s="8"/>
      <c r="F53" s="10"/>
      <c r="G53" s="10"/>
      <c r="H53" s="16"/>
    </row>
    <row r="54" spans="1:8" ht="9.9499999999999993" customHeight="1">
      <c r="D54" s="7"/>
      <c r="E54" s="8"/>
      <c r="F54" s="8"/>
      <c r="G54" s="8"/>
      <c r="H54" s="15"/>
    </row>
    <row r="55" spans="1:8">
      <c r="D55" s="7" t="s">
        <v>44</v>
      </c>
      <c r="E55" s="8"/>
      <c r="F55" s="10"/>
      <c r="G55" s="10"/>
      <c r="H55" s="16"/>
    </row>
    <row r="56" spans="1:8" ht="9.9499999999999993" customHeight="1">
      <c r="D56" s="7"/>
      <c r="E56" s="8"/>
      <c r="F56" s="8"/>
      <c r="G56" s="8"/>
      <c r="H56" s="15"/>
    </row>
    <row r="57" spans="1:8">
      <c r="D57" s="7" t="s">
        <v>45</v>
      </c>
      <c r="E57" s="8"/>
      <c r="F57" s="8"/>
      <c r="G57" s="8"/>
      <c r="H57" s="15"/>
    </row>
    <row r="58" spans="1:8" ht="9.9499999999999993" customHeight="1">
      <c r="D58" s="9"/>
      <c r="E58" s="10"/>
      <c r="F58" s="10"/>
      <c r="G58" s="10"/>
      <c r="H58" s="16"/>
    </row>
    <row r="60" spans="1:8">
      <c r="A60" t="s">
        <v>191</v>
      </c>
    </row>
    <row r="61" spans="1:8">
      <c r="A61" t="s">
        <v>192</v>
      </c>
    </row>
    <row r="62" spans="1:8">
      <c r="A62" t="s">
        <v>193</v>
      </c>
    </row>
  </sheetData>
  <sheetProtection selectLockedCells="1" selectUnlockedCells="1"/>
  <mergeCells count="1">
    <mergeCell ref="A10:C10"/>
  </mergeCells>
  <pageMargins left="0.59055118110236227" right="0.39370078740157483" top="0.39370078740157483"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7"/>
  <sheetViews>
    <sheetView workbookViewId="0">
      <selection activeCell="B17" sqref="B17"/>
    </sheetView>
  </sheetViews>
  <sheetFormatPr defaultRowHeight="15"/>
  <cols>
    <col min="1" max="1" width="13.42578125" style="91" customWidth="1"/>
    <col min="2" max="2" width="61.5703125" bestFit="1" customWidth="1"/>
    <col min="4" max="4" width="27.140625" customWidth="1"/>
    <col min="5" max="5" width="69.85546875" customWidth="1"/>
  </cols>
  <sheetData>
    <row r="1" spans="1:6">
      <c r="A1" s="109" t="s">
        <v>135</v>
      </c>
      <c r="D1" s="21" t="s">
        <v>136</v>
      </c>
    </row>
    <row r="3" spans="1:6" s="21" customFormat="1">
      <c r="A3" s="93" t="s">
        <v>106</v>
      </c>
      <c r="B3" s="94" t="s">
        <v>107</v>
      </c>
      <c r="D3" s="94" t="s">
        <v>126</v>
      </c>
      <c r="E3" s="94" t="s">
        <v>127</v>
      </c>
      <c r="F3" s="94" t="s">
        <v>141</v>
      </c>
    </row>
    <row r="4" spans="1:6">
      <c r="A4" s="92">
        <v>42492</v>
      </c>
      <c r="B4" t="s">
        <v>108</v>
      </c>
      <c r="D4" t="s">
        <v>128</v>
      </c>
      <c r="E4" t="s">
        <v>137</v>
      </c>
      <c r="F4" t="s">
        <v>141</v>
      </c>
    </row>
    <row r="5" spans="1:6">
      <c r="A5" s="92">
        <v>42690</v>
      </c>
      <c r="B5" t="s">
        <v>109</v>
      </c>
      <c r="D5" t="s">
        <v>129</v>
      </c>
      <c r="E5" t="s">
        <v>138</v>
      </c>
      <c r="F5" t="s">
        <v>141</v>
      </c>
    </row>
    <row r="6" spans="1:6">
      <c r="A6" s="92">
        <v>42691</v>
      </c>
      <c r="B6" t="s">
        <v>111</v>
      </c>
      <c r="D6" t="s">
        <v>130</v>
      </c>
      <c r="E6" t="s">
        <v>139</v>
      </c>
      <c r="F6" t="s">
        <v>142</v>
      </c>
    </row>
    <row r="7" spans="1:6">
      <c r="A7" s="92">
        <v>42695</v>
      </c>
      <c r="B7" t="s">
        <v>112</v>
      </c>
      <c r="D7" t="s">
        <v>131</v>
      </c>
      <c r="E7" t="s">
        <v>140</v>
      </c>
      <c r="F7" t="s">
        <v>143</v>
      </c>
    </row>
    <row r="8" spans="1:6">
      <c r="A8" s="92">
        <v>42861</v>
      </c>
      <c r="B8" t="s">
        <v>117</v>
      </c>
      <c r="D8" t="s">
        <v>125</v>
      </c>
      <c r="E8" t="s">
        <v>144</v>
      </c>
      <c r="F8" t="s">
        <v>143</v>
      </c>
    </row>
    <row r="9" spans="1:6">
      <c r="A9" s="92">
        <v>42917</v>
      </c>
      <c r="B9" t="s">
        <v>195</v>
      </c>
      <c r="D9" t="s">
        <v>132</v>
      </c>
      <c r="E9" t="s">
        <v>145</v>
      </c>
      <c r="F9" t="s">
        <v>143</v>
      </c>
    </row>
    <row r="10" spans="1:6">
      <c r="A10" s="92">
        <v>42918</v>
      </c>
      <c r="B10" t="s">
        <v>215</v>
      </c>
      <c r="D10" t="s">
        <v>133</v>
      </c>
      <c r="E10" t="s">
        <v>146</v>
      </c>
      <c r="F10" t="s">
        <v>143</v>
      </c>
    </row>
    <row r="11" spans="1:6">
      <c r="B11" t="s">
        <v>216</v>
      </c>
      <c r="D11" t="s">
        <v>134</v>
      </c>
      <c r="E11" t="s">
        <v>147</v>
      </c>
      <c r="F11" t="s">
        <v>141</v>
      </c>
    </row>
    <row r="12" spans="1:6">
      <c r="A12" s="92">
        <v>43055</v>
      </c>
      <c r="B12" t="s">
        <v>218</v>
      </c>
      <c r="D12" t="s">
        <v>410</v>
      </c>
      <c r="E12" t="s">
        <v>411</v>
      </c>
    </row>
    <row r="13" spans="1:6">
      <c r="A13" s="92">
        <v>43298</v>
      </c>
      <c r="B13" t="s">
        <v>226</v>
      </c>
    </row>
    <row r="14" spans="1:6">
      <c r="A14" s="92">
        <v>43319</v>
      </c>
      <c r="B14" t="s">
        <v>227</v>
      </c>
    </row>
    <row r="15" spans="1:6">
      <c r="A15" s="92">
        <v>43338</v>
      </c>
      <c r="B15" t="s">
        <v>409</v>
      </c>
    </row>
    <row r="16" spans="1:6">
      <c r="A16" s="92">
        <v>43454</v>
      </c>
      <c r="B16" t="s">
        <v>634</v>
      </c>
    </row>
    <row r="17" spans="1:2">
      <c r="A17" s="92">
        <v>43663</v>
      </c>
      <c r="B17" t="s">
        <v>643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O103"/>
  <sheetViews>
    <sheetView topLeftCell="C1" zoomScaleNormal="100" workbookViewId="0">
      <selection activeCell="L19" sqref="L19"/>
    </sheetView>
  </sheetViews>
  <sheetFormatPr defaultRowHeight="15"/>
  <cols>
    <col min="1" max="1" width="2.5703125" customWidth="1"/>
    <col min="2" max="2" width="11.42578125" customWidth="1"/>
    <col min="3" max="3" width="5" style="2" bestFit="1" customWidth="1"/>
    <col min="4" max="4" width="8.85546875" style="2" bestFit="1" customWidth="1"/>
    <col min="5" max="5" width="4.5703125" customWidth="1"/>
    <col min="6" max="6" width="21.5703125" bestFit="1" customWidth="1"/>
    <col min="7" max="7" width="10.85546875" style="2" bestFit="1" customWidth="1"/>
    <col min="8" max="8" width="4.5703125" customWidth="1"/>
    <col min="9" max="9" width="5.5703125" style="2" bestFit="1" customWidth="1"/>
    <col min="10" max="10" width="26.5703125" bestFit="1" customWidth="1"/>
    <col min="11" max="11" width="5.5703125" style="2" bestFit="1" customWidth="1"/>
    <col min="12" max="12" width="26.85546875" bestFit="1" customWidth="1"/>
    <col min="13" max="13" width="5.5703125" style="2" bestFit="1" customWidth="1"/>
    <col min="14" max="14" width="4.5703125" customWidth="1"/>
    <col min="15" max="15" width="14.140625" bestFit="1" customWidth="1"/>
  </cols>
  <sheetData>
    <row r="1" spans="2:15">
      <c r="B1" s="21" t="s">
        <v>85</v>
      </c>
      <c r="C1" s="194">
        <v>2020</v>
      </c>
      <c r="F1" s="51" t="s">
        <v>102</v>
      </c>
      <c r="G1" s="197">
        <v>43664</v>
      </c>
      <c r="I1" s="95" t="s">
        <v>110</v>
      </c>
    </row>
    <row r="2" spans="2:15">
      <c r="F2" s="51" t="s">
        <v>194</v>
      </c>
      <c r="G2" s="198">
        <v>44196</v>
      </c>
    </row>
    <row r="3" spans="2:15">
      <c r="B3" s="12" t="s">
        <v>113</v>
      </c>
      <c r="C3" s="99"/>
      <c r="D3" s="195">
        <v>13.1</v>
      </c>
      <c r="I3" s="46" t="s">
        <v>49</v>
      </c>
      <c r="J3" s="53" t="s">
        <v>48</v>
      </c>
      <c r="K3" s="46" t="s">
        <v>49</v>
      </c>
      <c r="L3" s="53" t="s">
        <v>68</v>
      </c>
      <c r="M3" s="188" t="s">
        <v>49</v>
      </c>
    </row>
    <row r="4" spans="2:15">
      <c r="F4" s="4" t="s">
        <v>196</v>
      </c>
      <c r="G4" s="199">
        <v>390</v>
      </c>
      <c r="I4" s="47">
        <v>1</v>
      </c>
      <c r="J4" s="202">
        <v>43836</v>
      </c>
      <c r="K4" s="47">
        <v>1</v>
      </c>
      <c r="L4" s="205">
        <v>43840</v>
      </c>
      <c r="M4" s="77">
        <v>1</v>
      </c>
      <c r="O4" s="113"/>
    </row>
    <row r="5" spans="2:15">
      <c r="B5" s="17" t="s">
        <v>8</v>
      </c>
      <c r="C5" s="90"/>
      <c r="D5" s="76"/>
      <c r="F5" s="9" t="s">
        <v>228</v>
      </c>
      <c r="G5" s="200">
        <v>250</v>
      </c>
      <c r="I5" s="47">
        <v>2</v>
      </c>
      <c r="J5" s="202">
        <f>J4+7</f>
        <v>43843</v>
      </c>
      <c r="K5" s="47">
        <v>2</v>
      </c>
      <c r="L5" s="205">
        <f t="shared" ref="L5:L69" si="0">L4+7</f>
        <v>43847</v>
      </c>
      <c r="M5" s="77">
        <v>2</v>
      </c>
      <c r="O5" s="111"/>
    </row>
    <row r="6" spans="2:15">
      <c r="B6" s="4" t="s">
        <v>105</v>
      </c>
      <c r="C6" s="11">
        <v>0</v>
      </c>
      <c r="D6" s="196">
        <v>0</v>
      </c>
      <c r="F6" s="9" t="s">
        <v>229</v>
      </c>
      <c r="G6" s="200">
        <v>8</v>
      </c>
      <c r="I6" s="47">
        <v>3</v>
      </c>
      <c r="J6" s="202">
        <f>J5+7</f>
        <v>43850</v>
      </c>
      <c r="K6" s="47">
        <v>3</v>
      </c>
      <c r="L6" s="205">
        <f t="shared" si="0"/>
        <v>43854</v>
      </c>
      <c r="M6" s="77">
        <v>3</v>
      </c>
      <c r="O6" s="113"/>
    </row>
    <row r="7" spans="2:15">
      <c r="B7" s="7" t="s">
        <v>28</v>
      </c>
      <c r="C7" s="52">
        <v>4</v>
      </c>
      <c r="D7" s="97">
        <f>D3*4</f>
        <v>52.4</v>
      </c>
      <c r="I7" s="47">
        <v>4</v>
      </c>
      <c r="J7" s="202">
        <f t="shared" ref="J7:J31" si="1">J6+7</f>
        <v>43857</v>
      </c>
      <c r="K7" s="47">
        <v>4</v>
      </c>
      <c r="L7" s="205">
        <f t="shared" si="0"/>
        <v>43861</v>
      </c>
      <c r="M7" s="77">
        <v>4</v>
      </c>
      <c r="O7" s="111"/>
    </row>
    <row r="8" spans="2:15">
      <c r="B8" s="7" t="s">
        <v>29</v>
      </c>
      <c r="C8" s="52">
        <v>8</v>
      </c>
      <c r="D8" s="97">
        <f>$D$7*2</f>
        <v>104.8</v>
      </c>
      <c r="F8" s="21" t="s">
        <v>121</v>
      </c>
      <c r="I8" s="47">
        <v>5</v>
      </c>
      <c r="J8" s="202">
        <f t="shared" si="1"/>
        <v>43864</v>
      </c>
      <c r="K8" s="47">
        <v>5</v>
      </c>
      <c r="L8" s="205">
        <f t="shared" si="0"/>
        <v>43868</v>
      </c>
      <c r="M8" s="77">
        <v>5</v>
      </c>
      <c r="O8" s="111"/>
    </row>
    <row r="9" spans="2:15">
      <c r="B9" s="7" t="s">
        <v>30</v>
      </c>
      <c r="C9" s="52">
        <v>12</v>
      </c>
      <c r="D9" s="97">
        <f>$D$7*3</f>
        <v>157.19999999999999</v>
      </c>
      <c r="F9" s="4" t="s">
        <v>72</v>
      </c>
      <c r="G9" s="199">
        <v>320</v>
      </c>
      <c r="I9" s="47">
        <v>6</v>
      </c>
      <c r="J9" s="202">
        <f t="shared" si="1"/>
        <v>43871</v>
      </c>
      <c r="K9" s="47">
        <v>6</v>
      </c>
      <c r="L9" s="205">
        <f t="shared" si="0"/>
        <v>43875</v>
      </c>
      <c r="M9" s="77">
        <v>6</v>
      </c>
      <c r="O9" s="111"/>
    </row>
    <row r="10" spans="2:15">
      <c r="B10" s="7" t="s">
        <v>31</v>
      </c>
      <c r="C10" s="54">
        <v>16</v>
      </c>
      <c r="D10" s="97">
        <f>$D$7*4</f>
        <v>209.6</v>
      </c>
      <c r="F10" s="4" t="s">
        <v>50</v>
      </c>
      <c r="G10" s="199">
        <v>266</v>
      </c>
      <c r="I10" s="47">
        <v>7</v>
      </c>
      <c r="J10" s="202">
        <f t="shared" si="1"/>
        <v>43878</v>
      </c>
      <c r="K10" s="47">
        <v>7</v>
      </c>
      <c r="L10" s="205">
        <f t="shared" si="0"/>
        <v>43882</v>
      </c>
      <c r="M10" s="77">
        <v>7</v>
      </c>
      <c r="O10" s="111"/>
    </row>
    <row r="11" spans="2:15">
      <c r="B11" s="7" t="s">
        <v>32</v>
      </c>
      <c r="C11" s="54">
        <v>20</v>
      </c>
      <c r="D11" s="97">
        <f>$D$7*5</f>
        <v>262</v>
      </c>
      <c r="F11" s="9" t="s">
        <v>50</v>
      </c>
      <c r="G11" s="200">
        <v>296</v>
      </c>
      <c r="I11" s="47">
        <v>8</v>
      </c>
      <c r="J11" s="202">
        <f t="shared" si="1"/>
        <v>43885</v>
      </c>
      <c r="K11" s="47">
        <v>8</v>
      </c>
      <c r="L11" s="205">
        <f t="shared" si="0"/>
        <v>43889</v>
      </c>
      <c r="M11" s="77">
        <v>8</v>
      </c>
      <c r="O11" s="111"/>
    </row>
    <row r="12" spans="2:15">
      <c r="B12" s="7" t="s">
        <v>33</v>
      </c>
      <c r="C12" s="54">
        <v>24</v>
      </c>
      <c r="D12" s="97">
        <f>$D$7*6</f>
        <v>314.39999999999998</v>
      </c>
      <c r="F12" s="12" t="s">
        <v>73</v>
      </c>
      <c r="G12" s="187">
        <f>INT(Homestay_pw_Chch_2/7+0.9)</f>
        <v>38</v>
      </c>
      <c r="I12" s="47">
        <v>9</v>
      </c>
      <c r="J12" s="202">
        <f t="shared" si="1"/>
        <v>43892</v>
      </c>
      <c r="K12" s="47">
        <v>9</v>
      </c>
      <c r="L12" s="205">
        <f t="shared" si="0"/>
        <v>43896</v>
      </c>
      <c r="M12" s="77">
        <v>9</v>
      </c>
      <c r="O12" s="111"/>
    </row>
    <row r="13" spans="2:15">
      <c r="B13" s="7" t="s">
        <v>34</v>
      </c>
      <c r="C13" s="54">
        <v>28</v>
      </c>
      <c r="D13" s="97">
        <f>$D$7*7</f>
        <v>366.8</v>
      </c>
      <c r="F13" s="12" t="s">
        <v>73</v>
      </c>
      <c r="G13" s="187">
        <f>INT(Homestay_pw_Chch_3/7+0.9)</f>
        <v>43</v>
      </c>
      <c r="I13" s="47">
        <v>10</v>
      </c>
      <c r="J13" s="202">
        <f t="shared" si="1"/>
        <v>43899</v>
      </c>
      <c r="K13" s="47">
        <v>10</v>
      </c>
      <c r="L13" s="205">
        <f t="shared" si="0"/>
        <v>43903</v>
      </c>
      <c r="M13" s="77">
        <v>10</v>
      </c>
      <c r="O13" s="111"/>
    </row>
    <row r="14" spans="2:15">
      <c r="B14" s="7" t="s">
        <v>35</v>
      </c>
      <c r="C14" s="54">
        <v>32</v>
      </c>
      <c r="D14" s="97">
        <f>$D$7*8</f>
        <v>419.2</v>
      </c>
      <c r="I14" s="47">
        <v>11</v>
      </c>
      <c r="J14" s="202">
        <f t="shared" si="1"/>
        <v>43906</v>
      </c>
      <c r="K14" s="47">
        <v>11</v>
      </c>
      <c r="L14" s="205">
        <f t="shared" si="0"/>
        <v>43910</v>
      </c>
      <c r="M14" s="77">
        <v>11</v>
      </c>
      <c r="O14" s="111"/>
    </row>
    <row r="15" spans="2:15">
      <c r="B15" s="7" t="s">
        <v>36</v>
      </c>
      <c r="C15" s="54">
        <v>36</v>
      </c>
      <c r="D15" s="97">
        <f>$D$7*9</f>
        <v>471.59999999999997</v>
      </c>
      <c r="F15" s="21" t="s">
        <v>122</v>
      </c>
      <c r="I15" s="47">
        <v>12</v>
      </c>
      <c r="J15" s="202">
        <f t="shared" si="1"/>
        <v>43913</v>
      </c>
      <c r="K15" s="47">
        <v>12</v>
      </c>
      <c r="L15" s="205">
        <f t="shared" si="0"/>
        <v>43917</v>
      </c>
      <c r="M15" s="77">
        <v>12</v>
      </c>
      <c r="O15" s="111"/>
    </row>
    <row r="16" spans="2:15">
      <c r="B16" s="7" t="s">
        <v>37</v>
      </c>
      <c r="C16" s="54">
        <v>40</v>
      </c>
      <c r="D16" s="97">
        <f>$D$7*10</f>
        <v>524</v>
      </c>
      <c r="F16" s="4" t="s">
        <v>72</v>
      </c>
      <c r="G16" s="199">
        <v>320</v>
      </c>
      <c r="I16" s="47">
        <v>13</v>
      </c>
      <c r="J16" s="202">
        <f t="shared" si="1"/>
        <v>43920</v>
      </c>
      <c r="K16" s="47">
        <v>13</v>
      </c>
      <c r="L16" s="205">
        <f t="shared" si="0"/>
        <v>43924</v>
      </c>
      <c r="M16" s="77">
        <v>13</v>
      </c>
      <c r="O16" s="113"/>
    </row>
    <row r="17" spans="2:13">
      <c r="B17" s="7" t="s">
        <v>38</v>
      </c>
      <c r="C17" s="54">
        <v>44</v>
      </c>
      <c r="D17" s="97">
        <f>$D$7*11</f>
        <v>576.4</v>
      </c>
      <c r="F17" s="4" t="s">
        <v>50</v>
      </c>
      <c r="G17" s="199">
        <v>280</v>
      </c>
      <c r="I17" s="47">
        <v>14</v>
      </c>
      <c r="J17" s="202">
        <f t="shared" si="1"/>
        <v>43927</v>
      </c>
      <c r="K17" s="47">
        <v>14</v>
      </c>
      <c r="L17" s="212">
        <v>43930</v>
      </c>
      <c r="M17" s="77">
        <v>14</v>
      </c>
    </row>
    <row r="18" spans="2:13">
      <c r="B18" s="7" t="s">
        <v>39</v>
      </c>
      <c r="C18" s="54">
        <v>48</v>
      </c>
      <c r="D18" s="97">
        <f>$D$7*12</f>
        <v>628.79999999999995</v>
      </c>
      <c r="F18" s="9" t="s">
        <v>50</v>
      </c>
      <c r="G18" s="200">
        <v>280</v>
      </c>
      <c r="I18" s="47">
        <v>15</v>
      </c>
      <c r="J18" s="203">
        <v>43936</v>
      </c>
      <c r="K18" s="47">
        <v>15</v>
      </c>
      <c r="L18" s="205">
        <v>43938</v>
      </c>
      <c r="M18" s="77">
        <v>15</v>
      </c>
    </row>
    <row r="19" spans="2:13">
      <c r="B19" s="9" t="s">
        <v>9</v>
      </c>
      <c r="C19" s="55">
        <v>52</v>
      </c>
      <c r="D19" s="98">
        <f>$D$7*13</f>
        <v>681.19999999999993</v>
      </c>
      <c r="F19" s="12" t="s">
        <v>73</v>
      </c>
      <c r="G19" s="187">
        <f>INT(Homestay_pw_Timaru_2/7+0.9)</f>
        <v>40</v>
      </c>
      <c r="I19" s="47">
        <v>16</v>
      </c>
      <c r="J19" s="202">
        <v>43941</v>
      </c>
      <c r="K19" s="47">
        <v>16</v>
      </c>
      <c r="L19" s="205">
        <f t="shared" si="0"/>
        <v>43945</v>
      </c>
      <c r="M19" s="77">
        <v>16</v>
      </c>
    </row>
    <row r="20" spans="2:13">
      <c r="F20" s="12" t="s">
        <v>73</v>
      </c>
      <c r="G20" s="187">
        <f>INT(Homestay_pw_Timaru_3/7+0.9)</f>
        <v>40</v>
      </c>
      <c r="I20" s="47">
        <v>17</v>
      </c>
      <c r="J20" s="203">
        <v>43949</v>
      </c>
      <c r="K20" s="47">
        <v>17</v>
      </c>
      <c r="L20" s="205">
        <f t="shared" si="0"/>
        <v>43952</v>
      </c>
      <c r="M20" s="77">
        <v>17</v>
      </c>
    </row>
    <row r="21" spans="2:13">
      <c r="I21" s="47">
        <v>18</v>
      </c>
      <c r="J21" s="202">
        <v>43955</v>
      </c>
      <c r="K21" s="47">
        <v>18</v>
      </c>
      <c r="L21" s="205">
        <f t="shared" si="0"/>
        <v>43959</v>
      </c>
      <c r="M21" s="77">
        <v>18</v>
      </c>
    </row>
    <row r="22" spans="2:13">
      <c r="F22" s="114" t="s">
        <v>67</v>
      </c>
      <c r="G22" s="201">
        <v>30</v>
      </c>
      <c r="I22" s="47">
        <v>19</v>
      </c>
      <c r="J22" s="202">
        <f t="shared" si="1"/>
        <v>43962</v>
      </c>
      <c r="K22" s="47">
        <v>19</v>
      </c>
      <c r="L22" s="205">
        <f t="shared" si="0"/>
        <v>43966</v>
      </c>
      <c r="M22" s="77">
        <v>19</v>
      </c>
    </row>
    <row r="23" spans="2:13">
      <c r="I23" s="47">
        <v>20</v>
      </c>
      <c r="J23" s="202">
        <f t="shared" si="1"/>
        <v>43969</v>
      </c>
      <c r="K23" s="47">
        <v>20</v>
      </c>
      <c r="L23" s="205">
        <f t="shared" si="0"/>
        <v>43973</v>
      </c>
      <c r="M23" s="77">
        <v>20</v>
      </c>
    </row>
    <row r="24" spans="2:13">
      <c r="F24" s="114" t="s">
        <v>230</v>
      </c>
      <c r="G24" s="201">
        <v>7985</v>
      </c>
      <c r="I24" s="47">
        <v>21</v>
      </c>
      <c r="J24" s="202">
        <f t="shared" si="1"/>
        <v>43976</v>
      </c>
      <c r="K24" s="47">
        <v>21</v>
      </c>
      <c r="L24" s="205">
        <f t="shared" si="0"/>
        <v>43980</v>
      </c>
      <c r="M24" s="77">
        <v>21</v>
      </c>
    </row>
    <row r="25" spans="2:13">
      <c r="I25" s="47">
        <v>22</v>
      </c>
      <c r="J25" s="203">
        <v>43984</v>
      </c>
      <c r="K25" s="47">
        <v>22</v>
      </c>
      <c r="L25" s="205">
        <f t="shared" si="0"/>
        <v>43987</v>
      </c>
      <c r="M25" s="77">
        <v>22</v>
      </c>
    </row>
    <row r="26" spans="2:13">
      <c r="F26" s="21" t="s">
        <v>633</v>
      </c>
      <c r="I26" s="47">
        <v>23</v>
      </c>
      <c r="J26" s="202">
        <v>43990</v>
      </c>
      <c r="K26" s="47">
        <v>23</v>
      </c>
      <c r="L26" s="205">
        <f t="shared" si="0"/>
        <v>43994</v>
      </c>
      <c r="M26" s="77">
        <v>23</v>
      </c>
    </row>
    <row r="27" spans="2:13">
      <c r="F27" s="185" t="s">
        <v>636</v>
      </c>
      <c r="G27" s="201">
        <f>46*7</f>
        <v>322</v>
      </c>
      <c r="I27" s="47">
        <v>24</v>
      </c>
      <c r="J27" s="202">
        <f t="shared" si="1"/>
        <v>43997</v>
      </c>
      <c r="K27" s="47">
        <v>24</v>
      </c>
      <c r="L27" s="205">
        <f t="shared" si="0"/>
        <v>44001</v>
      </c>
      <c r="M27" s="77">
        <v>24</v>
      </c>
    </row>
    <row r="28" spans="2:13">
      <c r="F28" s="185" t="s">
        <v>635</v>
      </c>
      <c r="G28" s="201">
        <f>52*7</f>
        <v>364</v>
      </c>
      <c r="I28" s="48">
        <v>25</v>
      </c>
      <c r="J28" s="202">
        <f t="shared" si="1"/>
        <v>44004</v>
      </c>
      <c r="K28" s="48">
        <v>25</v>
      </c>
      <c r="L28" s="205">
        <f t="shared" si="0"/>
        <v>44008</v>
      </c>
      <c r="M28" s="78">
        <v>25</v>
      </c>
    </row>
    <row r="29" spans="2:13">
      <c r="I29" s="47">
        <v>26</v>
      </c>
      <c r="J29" s="202">
        <f t="shared" si="1"/>
        <v>44011</v>
      </c>
      <c r="K29" s="47">
        <v>26</v>
      </c>
      <c r="L29" s="205">
        <f t="shared" si="0"/>
        <v>44015</v>
      </c>
      <c r="M29" s="77">
        <v>26</v>
      </c>
    </row>
    <row r="30" spans="2:13">
      <c r="I30" s="47">
        <v>27</v>
      </c>
      <c r="J30" s="204">
        <f t="shared" si="1"/>
        <v>44018</v>
      </c>
      <c r="K30" s="47">
        <v>27</v>
      </c>
      <c r="L30" s="205">
        <f t="shared" si="0"/>
        <v>44022</v>
      </c>
      <c r="M30" s="77">
        <v>27</v>
      </c>
    </row>
    <row r="31" spans="2:13">
      <c r="I31" s="47">
        <v>28</v>
      </c>
      <c r="J31" s="205">
        <f t="shared" si="1"/>
        <v>44025</v>
      </c>
      <c r="K31" s="47">
        <v>28</v>
      </c>
      <c r="L31" s="205">
        <f t="shared" si="0"/>
        <v>44029</v>
      </c>
      <c r="M31" s="77">
        <v>28</v>
      </c>
    </row>
    <row r="32" spans="2:13">
      <c r="I32" s="47">
        <v>29</v>
      </c>
      <c r="J32" s="206">
        <f t="shared" ref="J32:J53" si="2">J31+7</f>
        <v>44032</v>
      </c>
      <c r="K32" s="47">
        <v>29</v>
      </c>
      <c r="L32" s="205">
        <f t="shared" si="0"/>
        <v>44036</v>
      </c>
      <c r="M32" s="77">
        <v>29</v>
      </c>
    </row>
    <row r="33" spans="9:13">
      <c r="I33" s="47">
        <v>30</v>
      </c>
      <c r="J33" s="206">
        <f t="shared" si="2"/>
        <v>44039</v>
      </c>
      <c r="K33" s="47">
        <v>30</v>
      </c>
      <c r="L33" s="205">
        <f t="shared" si="0"/>
        <v>44043</v>
      </c>
      <c r="M33" s="77">
        <v>30</v>
      </c>
    </row>
    <row r="34" spans="9:13">
      <c r="I34" s="47">
        <v>31</v>
      </c>
      <c r="J34" s="206">
        <f t="shared" si="2"/>
        <v>44046</v>
      </c>
      <c r="K34" s="47">
        <v>31</v>
      </c>
      <c r="L34" s="205">
        <f t="shared" si="0"/>
        <v>44050</v>
      </c>
      <c r="M34" s="77">
        <v>31</v>
      </c>
    </row>
    <row r="35" spans="9:13">
      <c r="I35" s="47">
        <v>32</v>
      </c>
      <c r="J35" s="206">
        <f t="shared" si="2"/>
        <v>44053</v>
      </c>
      <c r="K35" s="47">
        <v>32</v>
      </c>
      <c r="L35" s="205">
        <f t="shared" si="0"/>
        <v>44057</v>
      </c>
      <c r="M35" s="77">
        <v>32</v>
      </c>
    </row>
    <row r="36" spans="9:13">
      <c r="I36" s="47">
        <v>33</v>
      </c>
      <c r="J36" s="206">
        <f t="shared" si="2"/>
        <v>44060</v>
      </c>
      <c r="K36" s="47">
        <v>33</v>
      </c>
      <c r="L36" s="205">
        <f t="shared" si="0"/>
        <v>44064</v>
      </c>
      <c r="M36" s="77">
        <v>33</v>
      </c>
    </row>
    <row r="37" spans="9:13">
      <c r="I37" s="47">
        <v>34</v>
      </c>
      <c r="J37" s="206">
        <f t="shared" si="2"/>
        <v>44067</v>
      </c>
      <c r="K37" s="47">
        <v>34</v>
      </c>
      <c r="L37" s="205">
        <f t="shared" si="0"/>
        <v>44071</v>
      </c>
      <c r="M37" s="77">
        <v>34</v>
      </c>
    </row>
    <row r="38" spans="9:13">
      <c r="I38" s="47">
        <v>35</v>
      </c>
      <c r="J38" s="206">
        <f t="shared" si="2"/>
        <v>44074</v>
      </c>
      <c r="K38" s="47">
        <v>35</v>
      </c>
      <c r="L38" s="205">
        <f t="shared" si="0"/>
        <v>44078</v>
      </c>
      <c r="M38" s="77">
        <v>35</v>
      </c>
    </row>
    <row r="39" spans="9:13">
      <c r="I39" s="47">
        <v>36</v>
      </c>
      <c r="J39" s="206">
        <f t="shared" si="2"/>
        <v>44081</v>
      </c>
      <c r="K39" s="47">
        <v>36</v>
      </c>
      <c r="L39" s="205">
        <f t="shared" si="0"/>
        <v>44085</v>
      </c>
      <c r="M39" s="77">
        <v>36</v>
      </c>
    </row>
    <row r="40" spans="9:13">
      <c r="I40" s="47">
        <v>37</v>
      </c>
      <c r="J40" s="206">
        <f t="shared" si="2"/>
        <v>44088</v>
      </c>
      <c r="K40" s="47">
        <v>37</v>
      </c>
      <c r="L40" s="205">
        <f t="shared" si="0"/>
        <v>44092</v>
      </c>
      <c r="M40" s="77">
        <v>37</v>
      </c>
    </row>
    <row r="41" spans="9:13">
      <c r="I41" s="47">
        <v>38</v>
      </c>
      <c r="J41" s="206">
        <f t="shared" si="2"/>
        <v>44095</v>
      </c>
      <c r="K41" s="47">
        <v>38</v>
      </c>
      <c r="L41" s="205">
        <f t="shared" si="0"/>
        <v>44099</v>
      </c>
      <c r="M41" s="77">
        <v>38</v>
      </c>
    </row>
    <row r="42" spans="9:13">
      <c r="I42" s="47">
        <v>39</v>
      </c>
      <c r="J42" s="207">
        <f t="shared" si="2"/>
        <v>44102</v>
      </c>
      <c r="K42" s="47">
        <v>39</v>
      </c>
      <c r="L42" s="205">
        <f t="shared" si="0"/>
        <v>44106</v>
      </c>
      <c r="M42" s="77">
        <v>39</v>
      </c>
    </row>
    <row r="43" spans="9:13">
      <c r="I43" s="47">
        <v>40</v>
      </c>
      <c r="J43" s="206">
        <f t="shared" si="2"/>
        <v>44109</v>
      </c>
      <c r="K43" s="47">
        <v>40</v>
      </c>
      <c r="L43" s="205">
        <f t="shared" si="0"/>
        <v>44113</v>
      </c>
      <c r="M43" s="77">
        <v>40</v>
      </c>
    </row>
    <row r="44" spans="9:13">
      <c r="I44" s="47">
        <v>41</v>
      </c>
      <c r="J44" s="206">
        <f t="shared" si="2"/>
        <v>44116</v>
      </c>
      <c r="K44" s="47">
        <v>41</v>
      </c>
      <c r="L44" s="205">
        <f t="shared" si="0"/>
        <v>44120</v>
      </c>
      <c r="M44" s="77">
        <v>41</v>
      </c>
    </row>
    <row r="45" spans="9:13">
      <c r="I45" s="47">
        <v>42</v>
      </c>
      <c r="J45" s="206">
        <f t="shared" si="2"/>
        <v>44123</v>
      </c>
      <c r="K45" s="47">
        <v>42</v>
      </c>
      <c r="L45" s="205">
        <f t="shared" si="0"/>
        <v>44127</v>
      </c>
      <c r="M45" s="77">
        <v>42</v>
      </c>
    </row>
    <row r="46" spans="9:13">
      <c r="I46" s="47">
        <v>43</v>
      </c>
      <c r="J46" s="203">
        <v>44131</v>
      </c>
      <c r="K46" s="47">
        <v>43</v>
      </c>
      <c r="L46" s="205">
        <f t="shared" si="0"/>
        <v>44134</v>
      </c>
      <c r="M46" s="77">
        <v>43</v>
      </c>
    </row>
    <row r="47" spans="9:13">
      <c r="I47" s="47">
        <v>44</v>
      </c>
      <c r="J47" s="206">
        <v>44137</v>
      </c>
      <c r="K47" s="47">
        <v>44</v>
      </c>
      <c r="L47" s="205">
        <f t="shared" si="0"/>
        <v>44141</v>
      </c>
      <c r="M47" s="77">
        <v>44</v>
      </c>
    </row>
    <row r="48" spans="9:13">
      <c r="I48" s="47">
        <v>45</v>
      </c>
      <c r="J48" s="206">
        <f t="shared" si="2"/>
        <v>44144</v>
      </c>
      <c r="K48" s="47">
        <v>45</v>
      </c>
      <c r="L48" s="212">
        <v>44147</v>
      </c>
      <c r="M48" s="77">
        <v>45</v>
      </c>
    </row>
    <row r="49" spans="9:13">
      <c r="I49" s="47">
        <v>46</v>
      </c>
      <c r="J49" s="206">
        <f t="shared" si="2"/>
        <v>44151</v>
      </c>
      <c r="K49" s="47">
        <v>46</v>
      </c>
      <c r="L49" s="205">
        <v>44155</v>
      </c>
      <c r="M49" s="77">
        <v>46</v>
      </c>
    </row>
    <row r="50" spans="9:13">
      <c r="I50" s="47">
        <v>47</v>
      </c>
      <c r="J50" s="206">
        <f t="shared" si="2"/>
        <v>44158</v>
      </c>
      <c r="K50" s="47">
        <v>47</v>
      </c>
      <c r="L50" s="205">
        <f t="shared" si="0"/>
        <v>44162</v>
      </c>
      <c r="M50" s="77">
        <v>47</v>
      </c>
    </row>
    <row r="51" spans="9:13">
      <c r="I51" s="47">
        <v>48</v>
      </c>
      <c r="J51" s="206">
        <f t="shared" si="2"/>
        <v>44165</v>
      </c>
      <c r="K51" s="47">
        <v>48</v>
      </c>
      <c r="L51" s="205">
        <f t="shared" si="0"/>
        <v>44169</v>
      </c>
      <c r="M51" s="77">
        <v>48</v>
      </c>
    </row>
    <row r="52" spans="9:13">
      <c r="I52" s="47">
        <v>49</v>
      </c>
      <c r="J52" s="206">
        <f t="shared" si="2"/>
        <v>44172</v>
      </c>
      <c r="K52" s="47">
        <v>49</v>
      </c>
      <c r="L52" s="205">
        <f t="shared" si="0"/>
        <v>44176</v>
      </c>
      <c r="M52" s="77">
        <v>49</v>
      </c>
    </row>
    <row r="53" spans="9:13">
      <c r="I53" s="48">
        <v>50</v>
      </c>
      <c r="J53" s="208">
        <f t="shared" si="2"/>
        <v>44179</v>
      </c>
      <c r="K53" s="135">
        <v>50</v>
      </c>
      <c r="L53" s="205">
        <f t="shared" si="0"/>
        <v>44183</v>
      </c>
      <c r="M53" s="77">
        <v>50</v>
      </c>
    </row>
    <row r="54" spans="9:13">
      <c r="I54" s="190">
        <v>51</v>
      </c>
      <c r="J54" s="209">
        <v>44200</v>
      </c>
      <c r="K54" s="189">
        <v>51</v>
      </c>
      <c r="L54" s="213">
        <v>44204</v>
      </c>
      <c r="M54" s="76">
        <v>51</v>
      </c>
    </row>
    <row r="55" spans="9:13">
      <c r="I55" s="47">
        <v>52</v>
      </c>
      <c r="J55" s="210">
        <f>J54+7</f>
        <v>44207</v>
      </c>
      <c r="K55" s="47">
        <v>52</v>
      </c>
      <c r="L55" s="214">
        <f t="shared" si="0"/>
        <v>44211</v>
      </c>
      <c r="M55" s="77">
        <v>52</v>
      </c>
    </row>
    <row r="56" spans="9:13">
      <c r="I56" s="47">
        <v>53</v>
      </c>
      <c r="J56" s="210">
        <f t="shared" ref="J56:J80" si="3">J55+7</f>
        <v>44214</v>
      </c>
      <c r="K56" s="47">
        <v>53</v>
      </c>
      <c r="L56" s="214">
        <f t="shared" si="0"/>
        <v>44218</v>
      </c>
      <c r="M56" s="77">
        <v>53</v>
      </c>
    </row>
    <row r="57" spans="9:13">
      <c r="I57" s="47">
        <v>54</v>
      </c>
      <c r="J57" s="210">
        <f t="shared" si="3"/>
        <v>44221</v>
      </c>
      <c r="K57" s="47">
        <v>54</v>
      </c>
      <c r="L57" s="214">
        <f t="shared" si="0"/>
        <v>44225</v>
      </c>
      <c r="M57" s="77">
        <v>54</v>
      </c>
    </row>
    <row r="58" spans="9:13">
      <c r="I58" s="47">
        <v>55</v>
      </c>
      <c r="J58" s="210">
        <f t="shared" si="3"/>
        <v>44228</v>
      </c>
      <c r="K58" s="47">
        <v>55</v>
      </c>
      <c r="L58" s="214">
        <f t="shared" si="0"/>
        <v>44232</v>
      </c>
      <c r="M58" s="77">
        <v>55</v>
      </c>
    </row>
    <row r="59" spans="9:13">
      <c r="I59" s="47">
        <v>56</v>
      </c>
      <c r="J59" s="210">
        <f t="shared" si="3"/>
        <v>44235</v>
      </c>
      <c r="K59" s="47">
        <v>56</v>
      </c>
      <c r="L59" s="214">
        <f t="shared" si="0"/>
        <v>44239</v>
      </c>
      <c r="M59" s="77">
        <v>56</v>
      </c>
    </row>
    <row r="60" spans="9:13">
      <c r="I60" s="47">
        <v>57</v>
      </c>
      <c r="J60" s="210">
        <f t="shared" si="3"/>
        <v>44242</v>
      </c>
      <c r="K60" s="47">
        <v>57</v>
      </c>
      <c r="L60" s="214">
        <f t="shared" si="0"/>
        <v>44246</v>
      </c>
      <c r="M60" s="77">
        <v>57</v>
      </c>
    </row>
    <row r="61" spans="9:13">
      <c r="I61" s="47">
        <v>58</v>
      </c>
      <c r="J61" s="210">
        <f t="shared" si="3"/>
        <v>44249</v>
      </c>
      <c r="K61" s="47">
        <v>58</v>
      </c>
      <c r="L61" s="214">
        <f t="shared" si="0"/>
        <v>44253</v>
      </c>
      <c r="M61" s="77">
        <v>58</v>
      </c>
    </row>
    <row r="62" spans="9:13">
      <c r="I62" s="47">
        <v>59</v>
      </c>
      <c r="J62" s="210">
        <f t="shared" si="3"/>
        <v>44256</v>
      </c>
      <c r="K62" s="47">
        <v>59</v>
      </c>
      <c r="L62" s="214">
        <f t="shared" si="0"/>
        <v>44260</v>
      </c>
      <c r="M62" s="77">
        <v>59</v>
      </c>
    </row>
    <row r="63" spans="9:13">
      <c r="I63" s="47">
        <v>60</v>
      </c>
      <c r="J63" s="210">
        <f t="shared" si="3"/>
        <v>44263</v>
      </c>
      <c r="K63" s="47">
        <v>60</v>
      </c>
      <c r="L63" s="214">
        <f t="shared" si="0"/>
        <v>44267</v>
      </c>
      <c r="M63" s="77">
        <v>60</v>
      </c>
    </row>
    <row r="64" spans="9:13">
      <c r="I64" s="47">
        <v>61</v>
      </c>
      <c r="J64" s="210">
        <f t="shared" si="3"/>
        <v>44270</v>
      </c>
      <c r="K64" s="47">
        <v>61</v>
      </c>
      <c r="L64" s="214">
        <f t="shared" si="0"/>
        <v>44274</v>
      </c>
      <c r="M64" s="77">
        <v>61</v>
      </c>
    </row>
    <row r="65" spans="9:13">
      <c r="I65" s="47">
        <v>62</v>
      </c>
      <c r="J65" s="210">
        <f t="shared" si="3"/>
        <v>44277</v>
      </c>
      <c r="K65" s="47">
        <v>62</v>
      </c>
      <c r="L65" s="214">
        <f t="shared" si="0"/>
        <v>44281</v>
      </c>
      <c r="M65" s="77">
        <v>62</v>
      </c>
    </row>
    <row r="66" spans="9:13">
      <c r="I66" s="47">
        <v>63</v>
      </c>
      <c r="J66" s="210">
        <f t="shared" si="3"/>
        <v>44284</v>
      </c>
      <c r="K66" s="47">
        <v>63</v>
      </c>
      <c r="L66" s="214">
        <f t="shared" si="0"/>
        <v>44288</v>
      </c>
      <c r="M66" s="77">
        <v>63</v>
      </c>
    </row>
    <row r="67" spans="9:13">
      <c r="I67" s="47">
        <v>64</v>
      </c>
      <c r="J67" s="210">
        <f t="shared" si="3"/>
        <v>44291</v>
      </c>
      <c r="K67" s="47">
        <v>64</v>
      </c>
      <c r="L67" s="214">
        <f t="shared" si="0"/>
        <v>44295</v>
      </c>
      <c r="M67" s="77">
        <v>64</v>
      </c>
    </row>
    <row r="68" spans="9:13">
      <c r="I68" s="47">
        <v>65</v>
      </c>
      <c r="J68" s="210">
        <f t="shared" si="3"/>
        <v>44298</v>
      </c>
      <c r="K68" s="47">
        <v>65</v>
      </c>
      <c r="L68" s="214">
        <f t="shared" si="0"/>
        <v>44302</v>
      </c>
      <c r="M68" s="77">
        <v>65</v>
      </c>
    </row>
    <row r="69" spans="9:13">
      <c r="I69" s="47">
        <v>66</v>
      </c>
      <c r="J69" s="210">
        <f t="shared" si="3"/>
        <v>44305</v>
      </c>
      <c r="K69" s="47">
        <v>66</v>
      </c>
      <c r="L69" s="214">
        <f t="shared" si="0"/>
        <v>44309</v>
      </c>
      <c r="M69" s="77">
        <v>66</v>
      </c>
    </row>
    <row r="70" spans="9:13">
      <c r="I70" s="47">
        <v>67</v>
      </c>
      <c r="J70" s="210">
        <f t="shared" si="3"/>
        <v>44312</v>
      </c>
      <c r="K70" s="47">
        <v>67</v>
      </c>
      <c r="L70" s="214">
        <f t="shared" ref="L70:L103" si="4">L69+7</f>
        <v>44316</v>
      </c>
      <c r="M70" s="77">
        <v>67</v>
      </c>
    </row>
    <row r="71" spans="9:13">
      <c r="I71" s="47">
        <v>68</v>
      </c>
      <c r="J71" s="210">
        <f t="shared" si="3"/>
        <v>44319</v>
      </c>
      <c r="K71" s="47">
        <v>68</v>
      </c>
      <c r="L71" s="214">
        <f t="shared" si="4"/>
        <v>44323</v>
      </c>
      <c r="M71" s="77">
        <v>68</v>
      </c>
    </row>
    <row r="72" spans="9:13">
      <c r="I72" s="47">
        <v>69</v>
      </c>
      <c r="J72" s="210">
        <f t="shared" si="3"/>
        <v>44326</v>
      </c>
      <c r="K72" s="47">
        <v>69</v>
      </c>
      <c r="L72" s="214">
        <f t="shared" si="4"/>
        <v>44330</v>
      </c>
      <c r="M72" s="77">
        <v>69</v>
      </c>
    </row>
    <row r="73" spans="9:13">
      <c r="I73" s="47">
        <v>70</v>
      </c>
      <c r="J73" s="210">
        <f t="shared" si="3"/>
        <v>44333</v>
      </c>
      <c r="K73" s="47">
        <v>70</v>
      </c>
      <c r="L73" s="214">
        <f t="shared" si="4"/>
        <v>44337</v>
      </c>
      <c r="M73" s="77">
        <v>70</v>
      </c>
    </row>
    <row r="74" spans="9:13">
      <c r="I74" s="47">
        <v>71</v>
      </c>
      <c r="J74" s="210">
        <f t="shared" si="3"/>
        <v>44340</v>
      </c>
      <c r="K74" s="47">
        <v>71</v>
      </c>
      <c r="L74" s="214">
        <f t="shared" si="4"/>
        <v>44344</v>
      </c>
      <c r="M74" s="77">
        <v>71</v>
      </c>
    </row>
    <row r="75" spans="9:13">
      <c r="I75" s="47">
        <v>72</v>
      </c>
      <c r="J75" s="210">
        <f t="shared" si="3"/>
        <v>44347</v>
      </c>
      <c r="K75" s="47">
        <v>72</v>
      </c>
      <c r="L75" s="214">
        <f t="shared" si="4"/>
        <v>44351</v>
      </c>
      <c r="M75" s="77">
        <v>72</v>
      </c>
    </row>
    <row r="76" spans="9:13">
      <c r="I76" s="47">
        <v>73</v>
      </c>
      <c r="J76" s="210">
        <f t="shared" si="3"/>
        <v>44354</v>
      </c>
      <c r="K76" s="47">
        <v>73</v>
      </c>
      <c r="L76" s="214">
        <f t="shared" si="4"/>
        <v>44358</v>
      </c>
      <c r="M76" s="77">
        <v>73</v>
      </c>
    </row>
    <row r="77" spans="9:13">
      <c r="I77" s="47">
        <v>74</v>
      </c>
      <c r="J77" s="210">
        <f t="shared" si="3"/>
        <v>44361</v>
      </c>
      <c r="K77" s="47">
        <v>74</v>
      </c>
      <c r="L77" s="214">
        <f t="shared" si="4"/>
        <v>44365</v>
      </c>
      <c r="M77" s="77">
        <v>74</v>
      </c>
    </row>
    <row r="78" spans="9:13">
      <c r="I78" s="47">
        <v>75</v>
      </c>
      <c r="J78" s="210">
        <f t="shared" si="3"/>
        <v>44368</v>
      </c>
      <c r="K78" s="47">
        <v>75</v>
      </c>
      <c r="L78" s="214">
        <f t="shared" si="4"/>
        <v>44372</v>
      </c>
      <c r="M78" s="77">
        <v>75</v>
      </c>
    </row>
    <row r="79" spans="9:13">
      <c r="I79" s="47">
        <v>76</v>
      </c>
      <c r="J79" s="210">
        <f t="shared" si="3"/>
        <v>44375</v>
      </c>
      <c r="K79" s="47">
        <v>76</v>
      </c>
      <c r="L79" s="214">
        <f t="shared" si="4"/>
        <v>44379</v>
      </c>
      <c r="M79" s="77">
        <v>76</v>
      </c>
    </row>
    <row r="80" spans="9:13">
      <c r="I80" s="48">
        <v>77</v>
      </c>
      <c r="J80" s="211">
        <f t="shared" si="3"/>
        <v>44382</v>
      </c>
      <c r="K80" s="48">
        <v>77</v>
      </c>
      <c r="L80" s="214">
        <f t="shared" si="4"/>
        <v>44386</v>
      </c>
      <c r="M80" s="78">
        <v>77</v>
      </c>
    </row>
    <row r="81" spans="11:13">
      <c r="K81" s="47">
        <v>78</v>
      </c>
      <c r="L81" s="214">
        <f t="shared" si="4"/>
        <v>44393</v>
      </c>
      <c r="M81" s="77">
        <v>78</v>
      </c>
    </row>
    <row r="82" spans="11:13">
      <c r="K82" s="47">
        <v>79</v>
      </c>
      <c r="L82" s="214">
        <f t="shared" si="4"/>
        <v>44400</v>
      </c>
      <c r="M82" s="77">
        <v>79</v>
      </c>
    </row>
    <row r="83" spans="11:13">
      <c r="K83" s="47">
        <v>80</v>
      </c>
      <c r="L83" s="214">
        <f t="shared" si="4"/>
        <v>44407</v>
      </c>
      <c r="M83" s="77">
        <v>80</v>
      </c>
    </row>
    <row r="84" spans="11:13">
      <c r="K84" s="47">
        <v>81</v>
      </c>
      <c r="L84" s="214">
        <f t="shared" si="4"/>
        <v>44414</v>
      </c>
      <c r="M84" s="77">
        <v>81</v>
      </c>
    </row>
    <row r="85" spans="11:13">
      <c r="K85" s="47">
        <v>82</v>
      </c>
      <c r="L85" s="214">
        <f t="shared" si="4"/>
        <v>44421</v>
      </c>
      <c r="M85" s="77">
        <v>82</v>
      </c>
    </row>
    <row r="86" spans="11:13">
      <c r="K86" s="47">
        <v>83</v>
      </c>
      <c r="L86" s="214">
        <f t="shared" si="4"/>
        <v>44428</v>
      </c>
      <c r="M86" s="77">
        <v>83</v>
      </c>
    </row>
    <row r="87" spans="11:13">
      <c r="K87" s="47">
        <v>84</v>
      </c>
      <c r="L87" s="214">
        <f t="shared" si="4"/>
        <v>44435</v>
      </c>
      <c r="M87" s="77">
        <v>84</v>
      </c>
    </row>
    <row r="88" spans="11:13">
      <c r="K88" s="47">
        <v>85</v>
      </c>
      <c r="L88" s="214">
        <f t="shared" si="4"/>
        <v>44442</v>
      </c>
      <c r="M88" s="77">
        <v>85</v>
      </c>
    </row>
    <row r="89" spans="11:13">
      <c r="K89" s="47">
        <v>86</v>
      </c>
      <c r="L89" s="214">
        <f t="shared" si="4"/>
        <v>44449</v>
      </c>
      <c r="M89" s="77">
        <v>86</v>
      </c>
    </row>
    <row r="90" spans="11:13">
      <c r="K90" s="47">
        <v>87</v>
      </c>
      <c r="L90" s="214">
        <f t="shared" si="4"/>
        <v>44456</v>
      </c>
      <c r="M90" s="77">
        <v>87</v>
      </c>
    </row>
    <row r="91" spans="11:13">
      <c r="K91" s="47">
        <v>88</v>
      </c>
      <c r="L91" s="214">
        <f t="shared" si="4"/>
        <v>44463</v>
      </c>
      <c r="M91" s="77">
        <v>88</v>
      </c>
    </row>
    <row r="92" spans="11:13">
      <c r="K92" s="47">
        <v>89</v>
      </c>
      <c r="L92" s="214">
        <f t="shared" si="4"/>
        <v>44470</v>
      </c>
      <c r="M92" s="77">
        <v>89</v>
      </c>
    </row>
    <row r="93" spans="11:13">
      <c r="K93" s="47">
        <v>90</v>
      </c>
      <c r="L93" s="214">
        <f t="shared" si="4"/>
        <v>44477</v>
      </c>
      <c r="M93" s="77">
        <v>90</v>
      </c>
    </row>
    <row r="94" spans="11:13">
      <c r="K94" s="47">
        <v>91</v>
      </c>
      <c r="L94" s="214">
        <f t="shared" si="4"/>
        <v>44484</v>
      </c>
      <c r="M94" s="77">
        <v>91</v>
      </c>
    </row>
    <row r="95" spans="11:13">
      <c r="K95" s="47">
        <v>92</v>
      </c>
      <c r="L95" s="214">
        <f t="shared" si="4"/>
        <v>44491</v>
      </c>
      <c r="M95" s="77">
        <v>92</v>
      </c>
    </row>
    <row r="96" spans="11:13">
      <c r="K96" s="47">
        <v>93</v>
      </c>
      <c r="L96" s="214">
        <f t="shared" si="4"/>
        <v>44498</v>
      </c>
      <c r="M96" s="77">
        <v>93</v>
      </c>
    </row>
    <row r="97" spans="2:13">
      <c r="K97" s="47">
        <v>94</v>
      </c>
      <c r="L97" s="214">
        <f t="shared" si="4"/>
        <v>44505</v>
      </c>
      <c r="M97" s="77">
        <v>94</v>
      </c>
    </row>
    <row r="98" spans="2:13">
      <c r="K98" s="47">
        <v>95</v>
      </c>
      <c r="L98" s="214">
        <f t="shared" si="4"/>
        <v>44512</v>
      </c>
      <c r="M98" s="77">
        <v>95</v>
      </c>
    </row>
    <row r="99" spans="2:13" ht="15.75" thickBot="1">
      <c r="B99" t="s">
        <v>644</v>
      </c>
      <c r="K99" s="47">
        <v>96</v>
      </c>
      <c r="L99" s="214">
        <f t="shared" si="4"/>
        <v>44519</v>
      </c>
      <c r="M99" s="77">
        <v>96</v>
      </c>
    </row>
    <row r="100" spans="2:13" ht="15.75" thickBot="1">
      <c r="B100" s="191" t="s">
        <v>645</v>
      </c>
      <c r="C100" s="192"/>
      <c r="D100" s="193"/>
      <c r="K100" s="47">
        <v>97</v>
      </c>
      <c r="L100" s="214">
        <f t="shared" si="4"/>
        <v>44526</v>
      </c>
      <c r="M100" s="77">
        <v>97</v>
      </c>
    </row>
    <row r="101" spans="2:13">
      <c r="K101" s="47">
        <v>98</v>
      </c>
      <c r="L101" s="214">
        <f t="shared" si="4"/>
        <v>44533</v>
      </c>
      <c r="M101" s="77">
        <v>98</v>
      </c>
    </row>
    <row r="102" spans="2:13">
      <c r="K102" s="47">
        <v>99</v>
      </c>
      <c r="L102" s="214">
        <f t="shared" si="4"/>
        <v>44540</v>
      </c>
      <c r="M102" s="77">
        <v>99</v>
      </c>
    </row>
    <row r="103" spans="2:13">
      <c r="K103" s="48">
        <v>100</v>
      </c>
      <c r="L103" s="211">
        <f t="shared" si="4"/>
        <v>44547</v>
      </c>
      <c r="M103" s="78">
        <v>100</v>
      </c>
    </row>
  </sheetData>
  <sheetProtection algorithmName="SHA-512" hashValue="NyW5UHzw/xKc8zLkz68MyPwwydzMisNfwRfdrW/UliV4xcS8jQvZowipZWj6bLCt3ArdDvKs+OHy162Kx+2o7g==" saltValue="hXcQJUwsX5f7zM9EdhITVw=="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1"/>
  <sheetViews>
    <sheetView zoomScaleNormal="100" workbookViewId="0">
      <selection activeCell="D21" sqref="D21"/>
    </sheetView>
  </sheetViews>
  <sheetFormatPr defaultRowHeight="15"/>
  <cols>
    <col min="2" max="2" width="21.42578125" customWidth="1"/>
    <col min="3" max="3" width="14.42578125" bestFit="1" customWidth="1"/>
    <col min="4" max="4" width="12" style="51" bestFit="1" customWidth="1"/>
  </cols>
  <sheetData>
    <row r="1" spans="1:10">
      <c r="A1" s="21" t="s">
        <v>79</v>
      </c>
      <c r="G1" s="21" t="s">
        <v>98</v>
      </c>
    </row>
    <row r="3" spans="1:10">
      <c r="B3" t="s">
        <v>219</v>
      </c>
      <c r="C3" t="s">
        <v>89</v>
      </c>
      <c r="D3" s="100">
        <f>'Choose Start Date &amp; Duration'!E7</f>
        <v>0</v>
      </c>
      <c r="E3" t="s">
        <v>220</v>
      </c>
      <c r="G3" t="s">
        <v>99</v>
      </c>
      <c r="J3" s="115" t="e">
        <f>IF(D17&lt;0,1,0)</f>
        <v>#N/A</v>
      </c>
    </row>
    <row r="4" spans="1:10">
      <c r="B4" s="21" t="s">
        <v>6</v>
      </c>
      <c r="C4" t="s">
        <v>89</v>
      </c>
      <c r="D4" s="100">
        <f>'Choose Start Date &amp; Duration'!E9</f>
        <v>0</v>
      </c>
      <c r="E4" t="s">
        <v>220</v>
      </c>
      <c r="G4" t="s">
        <v>100</v>
      </c>
      <c r="J4" s="115">
        <f>IF(D21&gt;7,1,0)</f>
        <v>0</v>
      </c>
    </row>
    <row r="5" spans="1:10">
      <c r="B5" t="s">
        <v>84</v>
      </c>
      <c r="C5" t="s">
        <v>90</v>
      </c>
      <c r="D5" s="102" t="e">
        <f>VLOOKUP(D4,'Dates &amp; Fees'!J4:K80,2,FALSE)</f>
        <v>#N/A</v>
      </c>
    </row>
    <row r="6" spans="1:10">
      <c r="D6" s="101"/>
    </row>
    <row r="7" spans="1:10">
      <c r="B7" t="s">
        <v>81</v>
      </c>
      <c r="D7" s="103" t="str">
        <f>IF('Choose Start Date &amp; Duration'!E11&gt;0,"Yes","No")</f>
        <v>No</v>
      </c>
    </row>
    <row r="8" spans="1:10">
      <c r="B8" s="21" t="s">
        <v>7</v>
      </c>
      <c r="C8" t="s">
        <v>89</v>
      </c>
      <c r="D8" s="104">
        <f>'Choose Start Date &amp; Duration'!E11</f>
        <v>0</v>
      </c>
      <c r="E8" t="s">
        <v>220</v>
      </c>
      <c r="I8" t="s">
        <v>101</v>
      </c>
      <c r="J8" s="115" t="e">
        <f>SUM(J3:J6)</f>
        <v>#N/A</v>
      </c>
    </row>
    <row r="9" spans="1:10">
      <c r="B9" t="s">
        <v>80</v>
      </c>
      <c r="C9" t="s">
        <v>90</v>
      </c>
      <c r="D9" s="103">
        <f>IF(D7="Yes",D5+D8-1,0)</f>
        <v>0</v>
      </c>
    </row>
    <row r="10" spans="1:10">
      <c r="B10" t="s">
        <v>87</v>
      </c>
      <c r="C10" t="s">
        <v>90</v>
      </c>
      <c r="D10" s="100" t="e">
        <f>VLOOKUP(D9,'Dates &amp; Fees'!K4:L80,2,FALSE)</f>
        <v>#N/A</v>
      </c>
    </row>
    <row r="11" spans="1:10">
      <c r="D11" s="101"/>
    </row>
    <row r="12" spans="1:10">
      <c r="B12" t="s">
        <v>82</v>
      </c>
      <c r="D12" s="103" t="str">
        <f>IF('Choose Start Date &amp; Duration'!E13&gt;0,"Yes","No")</f>
        <v>No</v>
      </c>
    </row>
    <row r="13" spans="1:10">
      <c r="B13" s="21" t="s">
        <v>69</v>
      </c>
      <c r="C13" t="s">
        <v>89</v>
      </c>
      <c r="D13" s="100">
        <f>'Choose Start Date &amp; Duration'!E13</f>
        <v>0</v>
      </c>
      <c r="E13" t="s">
        <v>220</v>
      </c>
    </row>
    <row r="14" spans="1:10">
      <c r="B14" t="s">
        <v>80</v>
      </c>
      <c r="C14" t="s">
        <v>90</v>
      </c>
      <c r="D14" s="102" t="e">
        <f>VLOOKUP(D13,'Dates &amp; Fees'!L4:M90,2,FALSE)</f>
        <v>#N/A</v>
      </c>
    </row>
    <row r="15" spans="1:10">
      <c r="B15" t="s">
        <v>86</v>
      </c>
      <c r="C15" t="s">
        <v>90</v>
      </c>
      <c r="D15" s="105" t="e">
        <f>(D14-D5+1)</f>
        <v>#N/A</v>
      </c>
    </row>
    <row r="16" spans="1:10">
      <c r="D16" s="103"/>
    </row>
    <row r="17" spans="2:5">
      <c r="B17" t="s">
        <v>7</v>
      </c>
      <c r="C17" t="s">
        <v>90</v>
      </c>
      <c r="D17" s="104" t="e">
        <f>IF(D7="Yes",D8,D15)</f>
        <v>#N/A</v>
      </c>
    </row>
    <row r="18" spans="2:5">
      <c r="B18" t="s">
        <v>69</v>
      </c>
      <c r="C18" t="s">
        <v>90</v>
      </c>
      <c r="D18" s="100">
        <f>IF(D7="Yes", D10,D13)</f>
        <v>0</v>
      </c>
    </row>
    <row r="19" spans="2:5">
      <c r="D19" s="101"/>
    </row>
    <row r="20" spans="2:5">
      <c r="B20" s="21" t="s">
        <v>91</v>
      </c>
      <c r="C20" t="s">
        <v>89</v>
      </c>
      <c r="D20" s="103">
        <f>'Choose Start Date &amp; Duration'!E15</f>
        <v>0</v>
      </c>
      <c r="E20" t="s">
        <v>220</v>
      </c>
    </row>
    <row r="21" spans="2:5">
      <c r="B21" s="21" t="s">
        <v>92</v>
      </c>
      <c r="C21" t="s">
        <v>89</v>
      </c>
      <c r="D21" s="103">
        <f>'Choose Start Date &amp; Duration'!E16</f>
        <v>0</v>
      </c>
      <c r="E21" t="s">
        <v>220</v>
      </c>
    </row>
    <row r="22" spans="2:5">
      <c r="B22" s="49" t="s">
        <v>118</v>
      </c>
      <c r="C22" t="s">
        <v>221</v>
      </c>
      <c r="D22" s="103" t="b">
        <v>0</v>
      </c>
      <c r="E22" t="s">
        <v>220</v>
      </c>
    </row>
    <row r="23" spans="2:5">
      <c r="B23" s="49" t="s">
        <v>223</v>
      </c>
      <c r="C23" t="s">
        <v>90</v>
      </c>
      <c r="D23" s="103" t="str">
        <f>IF(Location="Timaru", "3", IF(Three_meals_requested=TRUE, "3", "2"))</f>
        <v>2</v>
      </c>
    </row>
    <row r="24" spans="2:5">
      <c r="B24" s="49" t="s">
        <v>119</v>
      </c>
      <c r="D24" s="103">
        <f>IF(Homestay_weeks &lt; 4, IF(Three_meals_requested=FALSE, Homestay_pw_Short_2, Homestay_pw_Short_3), IF(Location="Timaru", Homestay_pw_Timaru_3, IF(Three_meals_requested=TRUE, Homestay_pw_Chch_3,Homestay_pw_Chch_2)))</f>
        <v>322</v>
      </c>
    </row>
    <row r="25" spans="2:5">
      <c r="B25" s="49" t="s">
        <v>120</v>
      </c>
      <c r="D25" s="103">
        <f>IF(Location="Timaru", 'Dates &amp; Fees'!G19, IF(Three_meals_requested=TRUE,'Dates &amp; Fees'!G13,'Dates &amp; Fees'!G12))</f>
        <v>38</v>
      </c>
    </row>
    <row r="26" spans="2:5">
      <c r="D26" s="101"/>
    </row>
    <row r="27" spans="2:5">
      <c r="B27" s="21" t="s">
        <v>8</v>
      </c>
      <c r="C27" t="s">
        <v>222</v>
      </c>
      <c r="D27" s="103" t="b">
        <v>1</v>
      </c>
      <c r="E27" t="s">
        <v>220</v>
      </c>
    </row>
    <row r="28" spans="2:5">
      <c r="B28" s="49" t="s">
        <v>8</v>
      </c>
      <c r="C28" t="s">
        <v>116</v>
      </c>
      <c r="D28" s="103">
        <f>'Choose Start Date &amp; Duration'!E21</f>
        <v>0</v>
      </c>
      <c r="E28" t="s">
        <v>220</v>
      </c>
    </row>
    <row r="29" spans="2:5">
      <c r="B29" t="s">
        <v>88</v>
      </c>
      <c r="C29" t="s">
        <v>115</v>
      </c>
      <c r="D29" s="106" t="e">
        <f>VLOOKUP(D28,'Dates &amp; Fees'!B6:D19,3,FALSE)</f>
        <v>#N/A</v>
      </c>
    </row>
    <row r="30" spans="2:5">
      <c r="B30" t="s">
        <v>88</v>
      </c>
      <c r="C30" t="s">
        <v>90</v>
      </c>
      <c r="D30" s="106" t="e">
        <f>IF(D27=TRUE, Duration * Weekly_insurance, 0)</f>
        <v>#N/A</v>
      </c>
    </row>
    <row r="31" spans="2:5">
      <c r="B31" t="s">
        <v>114</v>
      </c>
      <c r="D31" s="107" t="e">
        <f>IF(D28="Not required",0,IF(D28&lt;&gt;0,D29,D30))</f>
        <v>#N/A</v>
      </c>
    </row>
  </sheetData>
  <pageMargins left="0.7" right="0.7" top="0.75" bottom="0.75" header="0.3" footer="0.3"/>
  <pageSetup paperSize="12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2:I35"/>
  <sheetViews>
    <sheetView showGridLines="0" showRowColHeaders="0" tabSelected="1" zoomScale="110" zoomScaleNormal="110" workbookViewId="0">
      <selection activeCell="F24" sqref="F24"/>
    </sheetView>
  </sheetViews>
  <sheetFormatPr defaultRowHeight="15"/>
  <cols>
    <col min="1" max="1" width="3.5703125" style="50" customWidth="1"/>
    <col min="2" max="2" width="2.42578125" style="50" bestFit="1" customWidth="1"/>
    <col min="3" max="3" width="17.7109375" customWidth="1"/>
    <col min="4" max="4" width="11" customWidth="1"/>
    <col min="5" max="5" width="4.42578125" customWidth="1"/>
    <col min="6" max="6" width="12.5703125" customWidth="1"/>
    <col min="7" max="7" width="18.140625" style="44" customWidth="1"/>
    <col min="8" max="8" width="8.140625" bestFit="1" customWidth="1"/>
    <col min="9" max="9" width="10.42578125" bestFit="1" customWidth="1"/>
  </cols>
  <sheetData>
    <row r="2" spans="1:9" s="139" customFormat="1">
      <c r="B2" s="140" t="str">
        <f xml:space="preserve"> Languages!B5 &amp; " (" &amp; 'Dates &amp; Fees'!C1 &amp; ")"</f>
        <v>School of English - Cost Calculator (2020)</v>
      </c>
      <c r="G2" s="164"/>
      <c r="H2" s="141" t="str">
        <f>Languages!B6</f>
        <v>Version</v>
      </c>
      <c r="I2" s="142">
        <f>'Dates &amp; Fees'!G1</f>
        <v>43664</v>
      </c>
    </row>
    <row r="3" spans="1:9" s="146" customFormat="1">
      <c r="A3" s="149" t="str">
        <f ca="1">IF(NOW()&gt;'Dates &amp; Fees'!G2,"This form has expired.  Please request an updated version.","")</f>
        <v/>
      </c>
      <c r="B3" s="149"/>
      <c r="G3" s="158"/>
    </row>
    <row r="4" spans="1:9" s="146" customFormat="1">
      <c r="A4" s="145"/>
      <c r="C4" s="180" t="s">
        <v>234</v>
      </c>
      <c r="E4" s="181" t="s">
        <v>231</v>
      </c>
      <c r="G4" s="152"/>
    </row>
    <row r="5" spans="1:9" s="146" customFormat="1">
      <c r="A5" s="151"/>
      <c r="B5" s="151"/>
      <c r="G5" s="158"/>
    </row>
    <row r="6" spans="1:9" s="146" customFormat="1">
      <c r="A6" s="151"/>
      <c r="B6" s="151"/>
      <c r="E6" s="152" t="str">
        <f>Languages!B7</f>
        <v>(Enter the yellow fields below)</v>
      </c>
      <c r="G6" s="158"/>
    </row>
    <row r="7" spans="1:9" s="146" customFormat="1">
      <c r="A7" s="145"/>
      <c r="B7" s="145" t="s">
        <v>288</v>
      </c>
      <c r="C7" s="150" t="str">
        <f>Languages!B8</f>
        <v>Campus</v>
      </c>
      <c r="E7" s="217"/>
      <c r="F7" s="218"/>
      <c r="G7" s="152" t="str">
        <f>Languages!B9</f>
        <v xml:space="preserve"> (Choose Christchurch or Timaru)</v>
      </c>
    </row>
    <row r="8" spans="1:9" s="146" customFormat="1">
      <c r="A8" s="151"/>
      <c r="B8" s="151"/>
      <c r="G8" s="158"/>
    </row>
    <row r="9" spans="1:9" s="146" customFormat="1">
      <c r="A9" s="145"/>
      <c r="B9" s="145" t="s">
        <v>289</v>
      </c>
      <c r="C9" s="146" t="str">
        <f>Languages!B10</f>
        <v>Start Date</v>
      </c>
      <c r="E9" s="217"/>
      <c r="F9" s="218"/>
      <c r="G9" s="152" t="str">
        <f>Languages!B11</f>
        <v xml:space="preserve"> (Choose from dropdown list)</v>
      </c>
    </row>
    <row r="10" spans="1:9" s="146" customFormat="1">
      <c r="A10" s="145"/>
      <c r="B10" s="145"/>
      <c r="G10" s="158"/>
    </row>
    <row r="11" spans="1:9" s="146" customFormat="1">
      <c r="A11" s="145"/>
      <c r="B11" s="145" t="s">
        <v>290</v>
      </c>
      <c r="C11" s="146" t="str">
        <f>Languages!B12</f>
        <v>Duration</v>
      </c>
      <c r="E11" s="153"/>
      <c r="F11" s="158" t="str">
        <f>Languages!B15</f>
        <v xml:space="preserve"> weeks</v>
      </c>
      <c r="G11" s="152" t="str">
        <f>Languages!B16</f>
        <v xml:space="preserve"> (Minimum 4 weeks)</v>
      </c>
      <c r="I11" s="154"/>
    </row>
    <row r="12" spans="1:9" s="146" customFormat="1">
      <c r="A12" s="145"/>
      <c r="B12" s="145"/>
      <c r="C12" s="157" t="str">
        <f>Languages!B13</f>
        <v>or</v>
      </c>
      <c r="D12" s="155"/>
      <c r="E12" s="156"/>
      <c r="G12" s="158"/>
      <c r="I12" s="154"/>
    </row>
    <row r="13" spans="1:9" s="146" customFormat="1">
      <c r="A13" s="145"/>
      <c r="B13" s="145"/>
      <c r="C13" s="146" t="str">
        <f>Languages!B14</f>
        <v>Finish Date</v>
      </c>
      <c r="E13" s="217"/>
      <c r="F13" s="218"/>
      <c r="G13" s="152" t="str">
        <f>Languages!B11</f>
        <v xml:space="preserve"> (Choose from dropdown list)</v>
      </c>
    </row>
    <row r="14" spans="1:9" s="146" customFormat="1">
      <c r="A14" s="145"/>
      <c r="B14" s="145"/>
      <c r="G14" s="158"/>
    </row>
    <row r="15" spans="1:9" s="146" customFormat="1">
      <c r="A15" s="145"/>
      <c r="B15" s="145" t="s">
        <v>291</v>
      </c>
      <c r="C15" s="146" t="str">
        <f>Languages!B17</f>
        <v>Homestay</v>
      </c>
      <c r="E15" s="153"/>
      <c r="F15" s="158" t="str">
        <f>Languages!B15</f>
        <v xml:space="preserve"> weeks</v>
      </c>
      <c r="G15" s="152" t="str">
        <f>Languages!B16</f>
        <v xml:space="preserve"> (Minimum 4 weeks)</v>
      </c>
    </row>
    <row r="16" spans="1:9" s="146" customFormat="1">
      <c r="A16" s="145"/>
      <c r="B16" s="145"/>
      <c r="C16" s="158" t="str">
        <f>Languages!B18</f>
        <v>(2 meals a day)</v>
      </c>
      <c r="E16" s="153"/>
      <c r="F16" s="158" t="str">
        <f>Languages!B19</f>
        <v xml:space="preserve"> extra days</v>
      </c>
      <c r="G16" s="152" t="str">
        <f>Languages!B20</f>
        <v xml:space="preserve"> (optional)</v>
      </c>
    </row>
    <row r="17" spans="1:8" s="146" customFormat="1">
      <c r="A17" s="145"/>
      <c r="B17" s="145"/>
      <c r="E17" s="147"/>
      <c r="F17" s="158" t="str">
        <f>Languages!B21</f>
        <v>Tick this box for a three meal option (lunch included)</v>
      </c>
      <c r="G17" s="152"/>
    </row>
    <row r="18" spans="1:8" s="146" customFormat="1">
      <c r="A18" s="145"/>
      <c r="B18" s="145"/>
      <c r="G18" s="158"/>
    </row>
    <row r="19" spans="1:8" s="146" customFormat="1">
      <c r="A19" s="145"/>
      <c r="B19" s="145" t="s">
        <v>292</v>
      </c>
      <c r="C19" s="146" t="str">
        <f>Languages!B22</f>
        <v>Insurance</v>
      </c>
      <c r="F19" s="158" t="str">
        <f>Languages!B23</f>
        <v>Organise insurance based on study duration (Default)</v>
      </c>
      <c r="G19" s="158"/>
    </row>
    <row r="20" spans="1:8" s="146" customFormat="1">
      <c r="A20" s="145"/>
      <c r="B20" s="145"/>
      <c r="E20" s="157" t="str">
        <f>Languages!B13</f>
        <v>or</v>
      </c>
      <c r="G20" s="158"/>
    </row>
    <row r="21" spans="1:8" s="146" customFormat="1">
      <c r="A21" s="151"/>
      <c r="B21" s="151"/>
      <c r="E21" s="219"/>
      <c r="F21" s="220"/>
      <c r="G21" s="152" t="str">
        <f>Languages!B11</f>
        <v xml:space="preserve"> (Choose from dropdown list)</v>
      </c>
    </row>
    <row r="23" spans="1:8" ht="15.75" thickBot="1">
      <c r="C23" s="165" t="str">
        <f>Languages!B24</f>
        <v>After selections are made, click here to…</v>
      </c>
    </row>
    <row r="24" spans="1:8" ht="15.75" thickBot="1">
      <c r="F24" s="159" t="str">
        <f>Languages!B25</f>
        <v>Calculate</v>
      </c>
    </row>
    <row r="27" spans="1:8" s="146" customFormat="1">
      <c r="A27" s="151"/>
      <c r="B27" s="151"/>
      <c r="C27" s="162" t="str">
        <f>Languages!B49</f>
        <v>Latest version:</v>
      </c>
      <c r="D27" s="163" t="s">
        <v>225</v>
      </c>
      <c r="F27" s="162"/>
      <c r="G27" s="162"/>
      <c r="H27" s="162"/>
    </row>
    <row r="30" spans="1:8">
      <c r="C30" t="s">
        <v>639</v>
      </c>
    </row>
    <row r="31" spans="1:8">
      <c r="C31" t="s">
        <v>640</v>
      </c>
      <c r="E31" s="215"/>
      <c r="F31" s="216"/>
    </row>
    <row r="32" spans="1:8">
      <c r="C32" t="s">
        <v>641</v>
      </c>
      <c r="E32" s="215"/>
      <c r="F32" s="216"/>
    </row>
    <row r="33" spans="3:6" ht="6.95" customHeight="1"/>
    <row r="34" spans="3:6">
      <c r="C34" t="s">
        <v>642</v>
      </c>
      <c r="E34" s="62">
        <f>INT((E32-E31)/7)</f>
        <v>0</v>
      </c>
      <c r="F34" s="186" t="s">
        <v>637</v>
      </c>
    </row>
    <row r="35" spans="3:6">
      <c r="E35">
        <f>(E32-E31) - E34*7</f>
        <v>0</v>
      </c>
      <c r="F35" t="s">
        <v>638</v>
      </c>
    </row>
  </sheetData>
  <sheetProtection algorithmName="SHA-512" hashValue="Af+GD978qddxhYxSiPhf81u/6pGVO1KeaqN/f47ACkdrMSdNEPtmk1LiDWc1xfc2Nh11bgQjxgEn5bOOhD+AFw==" saltValue="isr/UrMUyOKae+LCcXr8oQ==" spinCount="100000" sheet="1" selectLockedCells="1"/>
  <mergeCells count="6">
    <mergeCell ref="E32:F32"/>
    <mergeCell ref="E9:F9"/>
    <mergeCell ref="E21:F21"/>
    <mergeCell ref="E13:F13"/>
    <mergeCell ref="E7:F7"/>
    <mergeCell ref="E31:F31"/>
  </mergeCells>
  <dataValidations count="2">
    <dataValidation type="list" allowBlank="1" showInputMessage="1" showErrorMessage="1" sqref="E7:F7">
      <formula1>"Christchurch, Timaru"</formula1>
    </dataValidation>
    <dataValidation type="whole" operator="greaterThan" allowBlank="1" showInputMessage="1" showErrorMessage="1" error="Enter a number greater than zero." sqref="E11">
      <formula1>0</formula1>
    </dataValidation>
  </dataValidations>
  <hyperlinks>
    <hyperlink ref="D27" r:id="rId1"/>
    <hyperlink ref="F24" location="'Cost Estimate'!A1" display="Calculate"/>
  </hyperlinks>
  <pageMargins left="0.7" right="0.7" top="0.75" bottom="0.75" header="0.3" footer="0.3"/>
  <pageSetup paperSize="9" orientation="portrait" r:id="rId2"/>
  <ignoredErrors>
    <ignoredError sqref="F24"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7170" r:id="rId5" name="Check Box 2">
              <controlPr defaultSize="0" autoFill="0" autoLine="0" autoPict="0">
                <anchor moveWithCells="1">
                  <from>
                    <xdr:col>4</xdr:col>
                    <xdr:colOff>114300</xdr:colOff>
                    <xdr:row>18</xdr:row>
                    <xdr:rowOff>9525</xdr:rowOff>
                  </from>
                  <to>
                    <xdr:col>4</xdr:col>
                    <xdr:colOff>276225</xdr:colOff>
                    <xdr:row>19</xdr:row>
                    <xdr:rowOff>9525</xdr:rowOff>
                  </to>
                </anchor>
              </controlPr>
            </control>
          </mc:Choice>
        </mc:AlternateContent>
        <mc:AlternateContent xmlns:mc="http://schemas.openxmlformats.org/markup-compatibility/2006">
          <mc:Choice Requires="x14">
            <control shapeId="7174" r:id="rId6" name="Check Box 6">
              <controlPr defaultSize="0" autoFill="0" autoLine="0" autoPict="0" altText="">
                <anchor moveWithCells="1">
                  <from>
                    <xdr:col>4</xdr:col>
                    <xdr:colOff>114300</xdr:colOff>
                    <xdr:row>16</xdr:row>
                    <xdr:rowOff>9525</xdr:rowOff>
                  </from>
                  <to>
                    <xdr:col>4</xdr:col>
                    <xdr:colOff>285750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'Dates &amp; Fees'!$B$6:$B$19</xm:f>
          </x14:formula1>
          <xm:sqref>E21:F21</xm:sqref>
        </x14:dataValidation>
        <x14:dataValidation type="list" allowBlank="1" showInputMessage="1" showErrorMessage="1">
          <x14:formula1>
            <xm:f>'Dates &amp; Fees'!$J$4:$J$79</xm:f>
          </x14:formula1>
          <xm:sqref>E9:F9</xm:sqref>
        </x14:dataValidation>
        <x14:dataValidation type="list" allowBlank="1" showInputMessage="1" showErrorMessage="1">
          <x14:formula1>
            <xm:f>'Dates &amp; Fees'!$L$4:$L$104</xm:f>
          </x14:formula1>
          <xm:sqref>E13:F13</xm:sqref>
        </x14:dataValidation>
        <x14:dataValidation type="list" allowBlank="1" showInputMessage="1" showErrorMessage="1">
          <x14:formula1>
            <xm:f>Languages!$C$4:$H$4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N23"/>
  <sheetViews>
    <sheetView showGridLines="0" showRowColHeaders="0" zoomScale="110" zoomScaleNormal="110" workbookViewId="0">
      <selection activeCell="G18" sqref="G18"/>
    </sheetView>
  </sheetViews>
  <sheetFormatPr defaultRowHeight="15"/>
  <cols>
    <col min="1" max="1" width="3.5703125" customWidth="1"/>
    <col min="2" max="2" width="22.85546875" customWidth="1"/>
    <col min="3" max="3" width="6" customWidth="1"/>
    <col min="4" max="4" width="1.85546875" bestFit="1" customWidth="1"/>
    <col min="5" max="5" width="3.5703125" style="51" customWidth="1"/>
    <col min="6" max="6" width="9" customWidth="1"/>
    <col min="7" max="7" width="15.5703125" style="51" customWidth="1"/>
    <col min="8" max="8" width="2.5703125" customWidth="1"/>
    <col min="9" max="9" width="6.85546875" customWidth="1"/>
    <col min="10" max="10" width="10.5703125" customWidth="1"/>
    <col min="11" max="11" width="14.140625" customWidth="1"/>
    <col min="12" max="12" width="10.5703125" customWidth="1"/>
    <col min="14" max="14" width="9.5703125" bestFit="1" customWidth="1"/>
  </cols>
  <sheetData>
    <row r="2" spans="1:14" ht="15.75">
      <c r="B2" s="136" t="str">
        <f>'Choose Start Date &amp; Duration'!B2</f>
        <v>School of English - Cost Calculator (2020)</v>
      </c>
      <c r="F2" s="96"/>
      <c r="K2" s="75" t="str">
        <f>Languages!B6</f>
        <v>Version</v>
      </c>
      <c r="L2" s="79">
        <f>'Dates &amp; Fees'!G1</f>
        <v>43664</v>
      </c>
    </row>
    <row r="3" spans="1:14">
      <c r="B3" s="111" t="str">
        <f ca="1">IF(NOW()&gt;'Dates &amp; Fees'!G2,"This form has expired.  Please request an updated version.","")</f>
        <v/>
      </c>
      <c r="K3" s="75" t="str">
        <f>Languages!B26</f>
        <v>Last Updated</v>
      </c>
      <c r="L3" s="79">
        <f ca="1">NOW()</f>
        <v>43664.703414467593</v>
      </c>
    </row>
    <row r="4" spans="1:14">
      <c r="B4" s="21" t="str">
        <f>Languages!B27 &amp; "  (" &amp; Location &amp; " " &amp; Languages!B8 &amp; ")"</f>
        <v>Cost Estimate  (0 Campus)</v>
      </c>
      <c r="K4" s="75"/>
      <c r="L4" s="112"/>
    </row>
    <row r="5" spans="1:14">
      <c r="B5" s="4" t="str">
        <f>Languages!B28</f>
        <v>Item</v>
      </c>
      <c r="C5" s="11"/>
      <c r="D5" s="11"/>
      <c r="E5" s="56"/>
      <c r="F5" s="11"/>
      <c r="G5" s="56" t="str">
        <f>Languages!B29</f>
        <v>Subtotal</v>
      </c>
      <c r="H5" s="5"/>
      <c r="I5" s="5" t="str">
        <f>Languages!B30</f>
        <v>Notes</v>
      </c>
      <c r="J5" s="5"/>
      <c r="K5" s="5"/>
      <c r="L5" s="6"/>
    </row>
    <row r="6" spans="1:14">
      <c r="B6" s="4" t="str">
        <f>Languages!B31</f>
        <v>Administration fee</v>
      </c>
      <c r="C6" s="63">
        <f>Registration_fee</f>
        <v>250</v>
      </c>
      <c r="D6" s="64"/>
      <c r="E6" s="65" t="e">
        <f>IF(Duration&gt;0,1,0)</f>
        <v>#N/A</v>
      </c>
      <c r="F6" s="5"/>
      <c r="G6" s="80" t="e">
        <f>C6*E6</f>
        <v>#N/A</v>
      </c>
      <c r="H6" s="5"/>
      <c r="I6" s="5" t="str">
        <f>Languages!B34</f>
        <v>includes textbook</v>
      </c>
      <c r="J6" s="5"/>
      <c r="K6" s="5"/>
      <c r="L6" s="6"/>
    </row>
    <row r="7" spans="1:14">
      <c r="A7" s="1"/>
      <c r="B7" s="7" t="str">
        <f>Languages!B32</f>
        <v>Tuition</v>
      </c>
      <c r="C7" s="58">
        <f>Tuition_fee</f>
        <v>390</v>
      </c>
      <c r="D7" s="58" t="s">
        <v>93</v>
      </c>
      <c r="E7" s="81" t="e">
        <f>IF(Duration&gt;0,Duration,0)</f>
        <v>#N/A</v>
      </c>
      <c r="F7" s="62" t="str">
        <f>Languages!B15</f>
        <v xml:space="preserve"> weeks</v>
      </c>
      <c r="G7" s="82" t="e">
        <f t="shared" ref="G7:G15" si="0">C7*E7</f>
        <v>#N/A</v>
      </c>
      <c r="H7" s="8"/>
      <c r="I7" s="8" t="str">
        <f>Languages!B35</f>
        <v>Start:</v>
      </c>
      <c r="J7" s="83">
        <f>'Calc Sheet'!D4</f>
        <v>0</v>
      </c>
      <c r="K7" s="61" t="str">
        <f>Languages!B36</f>
        <v>Finish:</v>
      </c>
      <c r="L7" s="84">
        <f>'Calc Sheet'!D18</f>
        <v>0</v>
      </c>
      <c r="N7" s="1"/>
    </row>
    <row r="8" spans="1:14">
      <c r="B8" s="7" t="str">
        <f>Languages!B33</f>
        <v>Student services levy</v>
      </c>
      <c r="C8" s="52"/>
      <c r="D8" s="52"/>
      <c r="E8" s="61"/>
      <c r="F8" s="52"/>
      <c r="G8" s="82" t="e">
        <f>SSL*E7</f>
        <v>#N/A</v>
      </c>
      <c r="H8" s="8"/>
      <c r="I8" s="8"/>
      <c r="J8" s="8"/>
      <c r="K8" s="8"/>
      <c r="L8" s="15"/>
    </row>
    <row r="9" spans="1:14">
      <c r="B9" s="7"/>
      <c r="C9" s="52"/>
      <c r="D9" s="52"/>
      <c r="E9" s="61"/>
      <c r="F9" s="52"/>
      <c r="G9" s="60"/>
      <c r="H9" s="8"/>
      <c r="I9" s="8"/>
      <c r="J9" s="8"/>
      <c r="K9" s="8"/>
      <c r="L9" s="15"/>
    </row>
    <row r="10" spans="1:14">
      <c r="B10" s="7" t="str">
        <f>Languages!B37</f>
        <v>Homestay placement fee</v>
      </c>
      <c r="C10" s="57">
        <f>IF('Choose Start Date &amp; Duration'!E7="Christchurch",'Dates &amp; Fees'!G9,'Dates &amp; Fees'!G16)</f>
        <v>320</v>
      </c>
      <c r="D10" s="58"/>
      <c r="E10" s="59">
        <f>IF('Calc Sheet'!D20+'Calc Sheet'!D21&gt;0,1,0)</f>
        <v>0</v>
      </c>
      <c r="F10" s="52"/>
      <c r="G10" s="82">
        <f t="shared" si="0"/>
        <v>0</v>
      </c>
      <c r="H10" s="8"/>
      <c r="I10" s="8" t="str">
        <f>Languages!B39</f>
        <v>includes airport pickup</v>
      </c>
      <c r="J10" s="8"/>
      <c r="K10" s="8"/>
      <c r="L10" s="15"/>
    </row>
    <row r="11" spans="1:14">
      <c r="B11" s="7" t="str">
        <f>Languages!B38</f>
        <v>Homestay fee</v>
      </c>
      <c r="C11" s="58">
        <f>'Calc Sheet'!D24</f>
        <v>322</v>
      </c>
      <c r="D11" s="58" t="s">
        <v>93</v>
      </c>
      <c r="E11" s="81">
        <f>Homestay_weeks</f>
        <v>0</v>
      </c>
      <c r="F11" s="62" t="str">
        <f>Languages!B15</f>
        <v xml:space="preserve"> weeks</v>
      </c>
      <c r="G11" s="82">
        <f t="shared" si="0"/>
        <v>0</v>
      </c>
      <c r="H11" s="8"/>
      <c r="I11" s="8" t="str">
        <f>Languages!B40 &amp; " "&amp; Meals &amp;" " &amp; Languages!B41</f>
        <v>includes 2 meals a day</v>
      </c>
      <c r="J11" s="8"/>
      <c r="K11" s="8"/>
      <c r="L11" s="15"/>
    </row>
    <row r="12" spans="1:14">
      <c r="B12" s="7"/>
      <c r="C12" s="58" t="str">
        <f>IF('Calc Sheet'!D21&gt;0,'Calc Sheet'!D25,"")</f>
        <v/>
      </c>
      <c r="D12" s="52" t="str">
        <f>IF('Calc Sheet'!D21&gt;0,"x","")</f>
        <v/>
      </c>
      <c r="E12" s="61" t="str">
        <f>IF('Calc Sheet'!D21&gt;0,'Calc Sheet'!D21,"")</f>
        <v/>
      </c>
      <c r="F12" s="62" t="str">
        <f>IF('Calc Sheet'!D21&gt;0,Languages!B42,"")</f>
        <v/>
      </c>
      <c r="G12" s="60" t="str">
        <f>IF('Calc Sheet'!D21&gt;0,C12*E12,"")</f>
        <v/>
      </c>
      <c r="H12" s="8"/>
      <c r="I12" s="8"/>
      <c r="J12" s="8"/>
      <c r="K12" s="8"/>
      <c r="L12" s="15"/>
    </row>
    <row r="13" spans="1:14">
      <c r="B13" s="7" t="str">
        <f>Languages!B22</f>
        <v>Insurance</v>
      </c>
      <c r="C13" s="52"/>
      <c r="D13" s="52"/>
      <c r="E13" s="61"/>
      <c r="F13" s="52"/>
      <c r="G13" s="85" t="e">
        <f>Insurance_fee</f>
        <v>#N/A</v>
      </c>
      <c r="H13" s="8"/>
      <c r="I13" s="89" t="e">
        <f>IF(Selected_insurance&lt;&gt;0, Selected_insurance, Duration &amp; " " &amp; Languages!B15)</f>
        <v>#N/A</v>
      </c>
      <c r="J13" s="89"/>
      <c r="K13" s="8"/>
      <c r="L13" s="15"/>
    </row>
    <row r="14" spans="1:14">
      <c r="B14" s="7"/>
      <c r="C14" s="52"/>
      <c r="D14" s="52"/>
      <c r="E14" s="61"/>
      <c r="F14" s="52"/>
      <c r="G14" s="60"/>
      <c r="H14" s="8"/>
      <c r="I14" s="8"/>
      <c r="J14" s="8"/>
      <c r="K14" s="8"/>
      <c r="L14" s="15"/>
    </row>
    <row r="15" spans="1:14">
      <c r="B15" s="9" t="str">
        <f>Languages!B43</f>
        <v>Bank fee</v>
      </c>
      <c r="C15" s="66">
        <f>Bank_fee</f>
        <v>30</v>
      </c>
      <c r="D15" s="67"/>
      <c r="E15" s="68" t="e">
        <f>IF(SUM(G6:G13)&gt;0,1,0)</f>
        <v>#N/A</v>
      </c>
      <c r="F15" s="55"/>
      <c r="G15" s="86" t="e">
        <f t="shared" si="0"/>
        <v>#N/A</v>
      </c>
      <c r="H15" s="10"/>
      <c r="I15" s="10" t="str">
        <f>Languages!B44</f>
        <v>if paying by T/T (telegraphic transfer)</v>
      </c>
      <c r="J15" s="10"/>
      <c r="K15" s="10"/>
      <c r="L15" s="16"/>
    </row>
    <row r="16" spans="1:14" s="74" customFormat="1" ht="18.75">
      <c r="B16" s="69"/>
      <c r="C16" s="70"/>
      <c r="D16" s="70"/>
      <c r="E16" s="71"/>
      <c r="F16" s="71" t="str">
        <f>Languages!B45</f>
        <v>Total (NZD)</v>
      </c>
      <c r="G16" s="87" t="e">
        <f>SUM(G6:G15)</f>
        <v>#N/A</v>
      </c>
      <c r="H16" s="72"/>
      <c r="I16" s="72"/>
      <c r="J16" s="72"/>
      <c r="K16" s="72"/>
      <c r="L16" s="73"/>
    </row>
    <row r="17" spans="3:12">
      <c r="C17" s="2"/>
      <c r="D17" s="2"/>
      <c r="F17" s="2"/>
    </row>
    <row r="18" spans="3:12" s="146" customFormat="1">
      <c r="E18" s="160"/>
      <c r="F18" s="160" t="str">
        <f>Languages!B46</f>
        <v>Exchange rate</v>
      </c>
      <c r="G18" s="161">
        <v>1</v>
      </c>
      <c r="I18" s="148" t="str">
        <f>Languages!B48</f>
        <v>(Enter a NZ$ to foreign currency rate)</v>
      </c>
    </row>
    <row r="20" spans="3:12">
      <c r="F20" s="51" t="str">
        <f>Languages!B47</f>
        <v>Foreign currency</v>
      </c>
      <c r="G20" s="88" t="e">
        <f>G16*G18</f>
        <v>#N/A</v>
      </c>
    </row>
    <row r="22" spans="3:12" ht="14.45" customHeight="1">
      <c r="D22" s="168"/>
      <c r="F22" s="221" t="str">
        <f>Languages!B50</f>
        <v xml:space="preserve">Note:  This is an estimate only.  
For a final quote please refer to the Statement of Fees. </v>
      </c>
      <c r="G22" s="221"/>
      <c r="H22" s="221"/>
      <c r="I22" s="221"/>
      <c r="J22" s="221"/>
      <c r="K22" s="221"/>
      <c r="L22" s="221"/>
    </row>
    <row r="23" spans="3:12">
      <c r="C23" s="168"/>
      <c r="D23" s="168"/>
      <c r="E23" s="168"/>
      <c r="F23" s="221"/>
      <c r="G23" s="221"/>
      <c r="H23" s="221"/>
      <c r="I23" s="221"/>
      <c r="J23" s="221"/>
      <c r="K23" s="221"/>
      <c r="L23" s="221"/>
    </row>
  </sheetData>
  <sheetProtection algorithmName="SHA-512" hashValue="rpLxH+8BtyjXUyF9AgArH+nanX0Aj7QAnX85X5ce67r9PXWT5t1wS2C9s82gvTtHffpnu8cBPe7vghCTg6Tu0w==" saltValue="fgQ0HqxTk/iulLf2a/hzeQ==" spinCount="100000" sheet="1" selectLockedCells="1"/>
  <mergeCells count="1">
    <mergeCell ref="F22:L23"/>
  </mergeCells>
  <pageMargins left="0.7" right="0.7" top="0.75" bottom="0.75" header="0.3" footer="0.3"/>
  <pageSetup paperSize="12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G42"/>
  <sheetViews>
    <sheetView showGridLines="0" zoomScaleNormal="100" workbookViewId="0">
      <selection activeCell="J21" sqref="J21"/>
    </sheetView>
  </sheetViews>
  <sheetFormatPr defaultRowHeight="15"/>
  <cols>
    <col min="1" max="1" width="20.140625" customWidth="1"/>
    <col min="2" max="2" width="3.42578125" customWidth="1"/>
    <col min="3" max="4" width="5.85546875" customWidth="1"/>
    <col min="7" max="7" width="9.5703125" bestFit="1" customWidth="1"/>
  </cols>
  <sheetData>
    <row r="1" spans="1:6">
      <c r="A1" s="21" t="s">
        <v>123</v>
      </c>
      <c r="C1" s="44"/>
    </row>
    <row r="2" spans="1:6">
      <c r="A2" s="21" t="s">
        <v>124</v>
      </c>
      <c r="C2" s="44" t="s">
        <v>56</v>
      </c>
    </row>
    <row r="3" spans="1:6">
      <c r="A3" s="111" t="str">
        <f ca="1">IF(NOW()&gt;'Dates &amp; Fees'!G2,"This form has expired.  Please request an updated version.","")</f>
        <v/>
      </c>
    </row>
    <row r="4" spans="1:6">
      <c r="A4" t="s">
        <v>0</v>
      </c>
      <c r="C4" s="224">
        <f ca="1">NOW()</f>
        <v>43664.703414467593</v>
      </c>
      <c r="D4" s="225"/>
      <c r="E4" s="23" t="s">
        <v>57</v>
      </c>
    </row>
    <row r="6" spans="1:6">
      <c r="A6" s="21" t="s">
        <v>197</v>
      </c>
    </row>
    <row r="7" spans="1:6">
      <c r="A7" t="s">
        <v>198</v>
      </c>
      <c r="C7" s="131" t="s">
        <v>200</v>
      </c>
      <c r="D7" s="36"/>
      <c r="E7" s="36"/>
      <c r="F7" s="37"/>
    </row>
    <row r="8" spans="1:6">
      <c r="A8" t="s">
        <v>199</v>
      </c>
      <c r="C8" s="131" t="s">
        <v>201</v>
      </c>
      <c r="D8" s="36"/>
      <c r="E8" s="36"/>
      <c r="F8" s="37"/>
    </row>
    <row r="9" spans="1:6">
      <c r="A9" t="s">
        <v>51</v>
      </c>
      <c r="C9" s="224">
        <v>32639</v>
      </c>
      <c r="D9" s="225"/>
      <c r="E9" s="23" t="s">
        <v>53</v>
      </c>
    </row>
    <row r="11" spans="1:6">
      <c r="A11" t="s">
        <v>1</v>
      </c>
      <c r="C11" s="132" t="s">
        <v>24</v>
      </c>
      <c r="D11" s="38"/>
      <c r="E11" s="38"/>
      <c r="F11" s="39"/>
    </row>
    <row r="12" spans="1:6">
      <c r="A12" t="s">
        <v>2</v>
      </c>
      <c r="C12" s="133" t="s">
        <v>25</v>
      </c>
      <c r="D12" s="40"/>
      <c r="E12" s="40"/>
      <c r="F12" s="41"/>
    </row>
    <row r="13" spans="1:6">
      <c r="A13" t="s">
        <v>3</v>
      </c>
      <c r="C13" s="133" t="s">
        <v>26</v>
      </c>
      <c r="D13" s="40"/>
      <c r="E13" s="40"/>
      <c r="F13" s="41"/>
    </row>
    <row r="14" spans="1:6">
      <c r="A14" t="s">
        <v>4</v>
      </c>
      <c r="C14" s="134" t="s">
        <v>27</v>
      </c>
      <c r="D14" s="42"/>
      <c r="E14" s="42"/>
      <c r="F14" s="43"/>
    </row>
    <row r="16" spans="1:6">
      <c r="A16" t="s">
        <v>5</v>
      </c>
      <c r="C16" s="226">
        <v>99135898</v>
      </c>
      <c r="D16" s="227"/>
    </row>
    <row r="18" spans="1:5">
      <c r="A18" t="s">
        <v>212</v>
      </c>
      <c r="C18" s="4"/>
      <c r="D18" s="6"/>
    </row>
    <row r="19" spans="1:5">
      <c r="C19" s="12"/>
      <c r="D19" s="24"/>
    </row>
    <row r="20" spans="1:5">
      <c r="C20" s="9"/>
      <c r="D20" s="16"/>
    </row>
    <row r="21" spans="1:5">
      <c r="C21" t="s">
        <v>214</v>
      </c>
    </row>
    <row r="22" spans="1:5">
      <c r="C22" t="s">
        <v>214</v>
      </c>
    </row>
    <row r="23" spans="1:5">
      <c r="E23" t="s">
        <v>213</v>
      </c>
    </row>
    <row r="36" spans="1:7">
      <c r="A36" t="s">
        <v>202</v>
      </c>
      <c r="C36" s="228">
        <v>42387</v>
      </c>
      <c r="D36" s="229"/>
      <c r="E36" s="23" t="s">
        <v>52</v>
      </c>
    </row>
    <row r="38" spans="1:7">
      <c r="A38" t="s">
        <v>203</v>
      </c>
      <c r="C38" s="116">
        <v>30</v>
      </c>
      <c r="G38" s="1"/>
    </row>
    <row r="40" spans="1:7">
      <c r="A40" t="s">
        <v>204</v>
      </c>
      <c r="C40" s="222" t="s">
        <v>34</v>
      </c>
      <c r="D40" s="223"/>
      <c r="E40" s="23" t="s">
        <v>52</v>
      </c>
    </row>
    <row r="41" spans="1:7">
      <c r="A41" t="s">
        <v>205</v>
      </c>
      <c r="C41" s="116">
        <v>12</v>
      </c>
    </row>
    <row r="42" spans="1:7">
      <c r="A42" t="s">
        <v>206</v>
      </c>
    </row>
  </sheetData>
  <sheetProtection algorithmName="SHA-512" hashValue="QOBjud6x+z3fQgLylYYoOp/DwaHDHWdE8Ms83a8VAL+b+tPkmHvR0juijI8Aads8fX6k55phLaugXe/4ZT+AWg==" saltValue="b/ZABhk1JYX+wk9SDtobuQ==" spinCount="100000" sheet="1" objects="1" scenarios="1"/>
  <mergeCells count="5">
    <mergeCell ref="C40:D40"/>
    <mergeCell ref="C4:D4"/>
    <mergeCell ref="C9:D9"/>
    <mergeCell ref="C16:D16"/>
    <mergeCell ref="C36:D3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Unhide_ApplicationForm" altText="Apply Now_x000a_">
                <anchor moveWithCells="1" sizeWithCells="1">
                  <from>
                    <xdr:col>4</xdr:col>
                    <xdr:colOff>9525</xdr:colOff>
                    <xdr:row>23</xdr:row>
                    <xdr:rowOff>9525</xdr:rowOff>
                  </from>
                  <to>
                    <xdr:col>5</xdr:col>
                    <xdr:colOff>514350</xdr:colOff>
                    <xdr:row>24</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'Dates &amp; Fees'!$J$4:$J$53</xm:f>
          </x14:formula1>
          <xm:sqref>C36</xm:sqref>
        </x14:dataValidation>
        <x14:dataValidation type="list" allowBlank="1" showInputMessage="1" showErrorMessage="1">
          <x14:formula1>
            <xm:f>'Dates &amp; Fees'!$B$7:$B$19</xm:f>
          </x14:formula1>
          <xm:sqref>C40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zoomScale="50" zoomScaleNormal="50" workbookViewId="0">
      <selection activeCell="X14" sqref="X14"/>
    </sheetView>
  </sheetViews>
  <sheetFormatPr defaultRowHeight="15"/>
  <sheetData/>
  <sheetProtection algorithmName="SHA-512" hashValue="HxAcePMoakcj9NDcIWw68NhAcHmKFE8acjtn/qHlPH4SSRei54B0vO+C9uFYtGHliASmpezhwM/3p9YjeeLWxw==" saltValue="rwkZJu9KZ+uE1TUHlBTBvg==" spinCount="100000" sheet="1" objects="1" scenarios="1" selectLockedCells="1" selectUnlockedCells="1"/>
  <pageMargins left="0" right="0" top="0" bottom="0" header="0.31496062992125984" footer="0.31496062992125984"/>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119"/>
  <sheetViews>
    <sheetView topLeftCell="A58" zoomScale="80" zoomScaleNormal="80" workbookViewId="0">
      <selection activeCell="G71" sqref="G71"/>
    </sheetView>
  </sheetViews>
  <sheetFormatPr defaultRowHeight="15"/>
  <cols>
    <col min="1" max="1" width="4.85546875" customWidth="1"/>
    <col min="4" max="4" width="11.42578125" customWidth="1"/>
    <col min="5" max="5" width="17.5703125" customWidth="1"/>
    <col min="6" max="6" width="3.42578125" customWidth="1"/>
    <col min="7" max="7" width="14.5703125" customWidth="1"/>
    <col min="8" max="8" width="13.42578125" customWidth="1"/>
    <col min="9" max="9" width="9.28515625" customWidth="1"/>
  </cols>
  <sheetData>
    <row r="1" spans="1:5">
      <c r="A1" t="s">
        <v>40</v>
      </c>
    </row>
    <row r="2" spans="1:5">
      <c r="A2" s="21" t="s">
        <v>41</v>
      </c>
    </row>
    <row r="3" spans="1:5" s="44" customFormat="1" ht="12.75">
      <c r="A3" s="44" t="s">
        <v>58</v>
      </c>
    </row>
    <row r="4" spans="1:5" s="44" customFormat="1" ht="12.75">
      <c r="A4" s="44" t="s">
        <v>59</v>
      </c>
    </row>
    <row r="5" spans="1:5" s="44" customFormat="1" ht="12.75">
      <c r="A5" s="44" t="s">
        <v>148</v>
      </c>
    </row>
    <row r="6" spans="1:5" s="44" customFormat="1" ht="12.75">
      <c r="A6" s="44" t="s">
        <v>149</v>
      </c>
    </row>
    <row r="8" spans="1:5" ht="15.75">
      <c r="A8" s="22" t="s">
        <v>150</v>
      </c>
    </row>
    <row r="9" spans="1:5">
      <c r="A9" s="230">
        <f ca="1">Application!C4</f>
        <v>43664.703414467593</v>
      </c>
      <c r="B9" s="230"/>
      <c r="C9" s="230"/>
    </row>
    <row r="11" spans="1:5">
      <c r="B11" s="26" t="str">
        <f>Application!C8 &amp; " " &amp; Application!C7</f>
        <v>En Chi Liang</v>
      </c>
      <c r="C11" s="26"/>
      <c r="D11" s="26"/>
    </row>
    <row r="12" spans="1:5">
      <c r="B12" s="26" t="str">
        <f>Application!C11</f>
        <v>1F No 6 Lane 20</v>
      </c>
      <c r="C12" s="26"/>
      <c r="D12" s="26"/>
    </row>
    <row r="13" spans="1:5">
      <c r="B13" s="26" t="str">
        <f>Application!C12</f>
        <v>Hsinte Road</v>
      </c>
      <c r="C13" s="26"/>
      <c r="D13" s="26"/>
    </row>
    <row r="14" spans="1:5">
      <c r="B14" s="26" t="str">
        <f>Application!C13</f>
        <v>Taipei 116</v>
      </c>
      <c r="C14" s="26"/>
      <c r="D14" s="26"/>
    </row>
    <row r="15" spans="1:5">
      <c r="B15" s="26" t="str">
        <f>Application!C14</f>
        <v>Taiwan, Province of China</v>
      </c>
      <c r="C15" s="26"/>
      <c r="D15" s="26"/>
    </row>
    <row r="16" spans="1:5" ht="21">
      <c r="E16" s="3" t="s">
        <v>207</v>
      </c>
    </row>
    <row r="17" spans="1:8">
      <c r="A17" t="s">
        <v>152</v>
      </c>
    </row>
    <row r="18" spans="1:8">
      <c r="A18" t="s">
        <v>151</v>
      </c>
    </row>
    <row r="20" spans="1:8">
      <c r="A20" s="12" t="s">
        <v>60</v>
      </c>
      <c r="B20" s="13"/>
      <c r="C20" s="13"/>
      <c r="D20" s="24"/>
      <c r="E20" s="118">
        <f>Application!C16</f>
        <v>99135898</v>
      </c>
      <c r="F20" s="13"/>
      <c r="G20" s="13"/>
      <c r="H20" s="119"/>
    </row>
    <row r="21" spans="1:8">
      <c r="A21" s="12" t="s">
        <v>61</v>
      </c>
      <c r="B21" s="13"/>
      <c r="C21" s="13"/>
      <c r="D21" s="24"/>
      <c r="E21" s="110" t="str">
        <f>B11</f>
        <v>En Chi Liang</v>
      </c>
      <c r="F21" s="13"/>
      <c r="G21" s="13"/>
      <c r="H21" s="119"/>
    </row>
    <row r="22" spans="1:8">
      <c r="A22" s="12" t="s">
        <v>62</v>
      </c>
      <c r="B22" s="13"/>
      <c r="C22" s="13"/>
      <c r="D22" s="24"/>
      <c r="E22" s="120">
        <f>Application!C9</f>
        <v>32639</v>
      </c>
      <c r="F22" s="31"/>
      <c r="G22" s="13"/>
      <c r="H22" s="119"/>
    </row>
    <row r="23" spans="1:8">
      <c r="A23" s="12" t="s">
        <v>63</v>
      </c>
      <c r="B23" s="13"/>
      <c r="C23" s="13"/>
      <c r="D23" s="24"/>
      <c r="E23" s="13" t="s">
        <v>153</v>
      </c>
      <c r="F23" s="13"/>
      <c r="G23" s="13"/>
      <c r="H23" s="119"/>
    </row>
    <row r="24" spans="1:8">
      <c r="A24" s="12"/>
      <c r="B24" s="13"/>
      <c r="C24" s="13"/>
      <c r="D24" s="24"/>
      <c r="E24" s="121">
        <f>'Calc Sheet'!D4</f>
        <v>0</v>
      </c>
      <c r="F24" s="99" t="s">
        <v>14</v>
      </c>
      <c r="G24" s="122">
        <f>'Calc Sheet'!D18</f>
        <v>0</v>
      </c>
      <c r="H24" s="119"/>
    </row>
    <row r="25" spans="1:8">
      <c r="A25" s="12" t="s">
        <v>64</v>
      </c>
      <c r="B25" s="13"/>
      <c r="C25" s="13"/>
      <c r="D25" s="24"/>
      <c r="E25" s="110" t="s">
        <v>154</v>
      </c>
      <c r="F25" s="31"/>
      <c r="G25" s="13"/>
      <c r="H25" s="119"/>
    </row>
    <row r="26" spans="1:8">
      <c r="A26" s="12" t="s">
        <v>155</v>
      </c>
      <c r="B26" s="13"/>
      <c r="C26" s="13"/>
      <c r="D26" s="24"/>
      <c r="E26" s="110" t="str">
        <f>IF('Choose Start Date &amp; Duration'!E7="Christchurch","Madras Street Campus","Timaru Campus")</f>
        <v>Timaru Campus</v>
      </c>
      <c r="F26" s="31"/>
      <c r="G26" s="13"/>
      <c r="H26" s="119"/>
    </row>
    <row r="27" spans="1:8">
      <c r="A27" s="12" t="s">
        <v>156</v>
      </c>
      <c r="B27" s="13"/>
      <c r="C27" s="13"/>
      <c r="D27" s="24"/>
      <c r="E27" s="110" t="e">
        <f>'Cost Estimate'!E7 &amp; " weeks"</f>
        <v>#N/A</v>
      </c>
      <c r="F27" s="31"/>
      <c r="G27" s="13"/>
      <c r="H27" s="119"/>
    </row>
    <row r="28" spans="1:8">
      <c r="A28" s="114" t="s">
        <v>157</v>
      </c>
      <c r="B28" s="13"/>
      <c r="C28" s="13"/>
      <c r="D28" s="24"/>
      <c r="E28" s="123" t="e">
        <f>'Cost Estimate'!G16</f>
        <v>#N/A</v>
      </c>
      <c r="F28" s="13"/>
      <c r="G28" s="13"/>
      <c r="H28" s="124"/>
    </row>
    <row r="29" spans="1:8">
      <c r="A29" s="125" t="s">
        <v>158</v>
      </c>
      <c r="B29" s="13"/>
      <c r="C29" s="13"/>
      <c r="D29" s="24"/>
      <c r="E29" s="110"/>
      <c r="F29" s="13"/>
      <c r="G29" s="13"/>
      <c r="H29" s="126"/>
    </row>
    <row r="30" spans="1:8">
      <c r="A30" s="125" t="s">
        <v>159</v>
      </c>
      <c r="B30" s="13"/>
      <c r="C30" s="13"/>
      <c r="D30" s="24"/>
      <c r="E30" s="110"/>
      <c r="F30" s="13"/>
      <c r="G30" s="13"/>
      <c r="H30" s="127"/>
    </row>
    <row r="31" spans="1:8">
      <c r="A31" s="125" t="s">
        <v>160</v>
      </c>
      <c r="B31" s="13"/>
      <c r="C31" s="13"/>
      <c r="D31" s="24"/>
      <c r="E31" s="110"/>
      <c r="F31" s="13"/>
      <c r="G31" s="13"/>
      <c r="H31" s="127"/>
    </row>
    <row r="32" spans="1:8">
      <c r="A32" s="125" t="s">
        <v>161</v>
      </c>
      <c r="B32" s="13"/>
      <c r="C32" s="13"/>
      <c r="D32" s="24"/>
      <c r="E32" s="110"/>
      <c r="F32" s="13"/>
      <c r="G32" s="13"/>
      <c r="H32" s="127"/>
    </row>
    <row r="33" spans="1:8">
      <c r="A33" s="125" t="s">
        <v>162</v>
      </c>
      <c r="B33" s="13"/>
      <c r="C33" s="13"/>
      <c r="D33" s="24"/>
      <c r="E33" s="110"/>
      <c r="F33" s="13"/>
      <c r="G33" s="13"/>
      <c r="H33" s="127"/>
    </row>
    <row r="34" spans="1:8">
      <c r="A34" s="125" t="s">
        <v>163</v>
      </c>
      <c r="B34" s="13"/>
      <c r="C34" s="13"/>
      <c r="D34" s="24"/>
      <c r="E34" s="110"/>
      <c r="F34" s="13"/>
      <c r="G34" s="13"/>
      <c r="H34" s="127"/>
    </row>
    <row r="36" spans="1:8">
      <c r="A36" s="45" t="s">
        <v>164</v>
      </c>
    </row>
    <row r="37" spans="1:8">
      <c r="A37" t="s">
        <v>65</v>
      </c>
    </row>
    <row r="38" spans="1:8">
      <c r="A38" t="s">
        <v>66</v>
      </c>
    </row>
    <row r="40" spans="1:8">
      <c r="A40" t="s">
        <v>165</v>
      </c>
      <c r="E40" s="117">
        <f ca="1">A9+14</f>
        <v>43678.703414467593</v>
      </c>
    </row>
    <row r="42" spans="1:8">
      <c r="A42" t="s">
        <v>166</v>
      </c>
    </row>
    <row r="44" spans="1:8" s="44" customFormat="1" ht="12.75">
      <c r="A44" s="44" t="s">
        <v>167</v>
      </c>
      <c r="E44" s="129" t="str">
        <f>E21</f>
        <v>En Chi Liang</v>
      </c>
      <c r="F44" s="44" t="s">
        <v>209</v>
      </c>
    </row>
    <row r="45" spans="1:8" s="44" customFormat="1" ht="12.75">
      <c r="A45" s="44" t="s">
        <v>208</v>
      </c>
    </row>
    <row r="46" spans="1:8" s="44" customFormat="1" ht="12.75">
      <c r="A46" s="44" t="s">
        <v>168</v>
      </c>
    </row>
    <row r="47" spans="1:8" s="44" customFormat="1" ht="12.75"/>
    <row r="48" spans="1:8" s="44" customFormat="1" ht="12.75">
      <c r="A48" s="44" t="s">
        <v>170</v>
      </c>
    </row>
    <row r="49" spans="1:5" s="44" customFormat="1" ht="12.75">
      <c r="A49" s="44" t="s">
        <v>171</v>
      </c>
    </row>
    <row r="51" spans="1:5">
      <c r="A51" t="s">
        <v>169</v>
      </c>
    </row>
    <row r="53" spans="1:5">
      <c r="A53" s="10"/>
      <c r="B53" s="10"/>
      <c r="C53" s="10"/>
      <c r="D53" s="10"/>
      <c r="E53" s="128">
        <f ca="1">NOW()</f>
        <v>43664.703414467593</v>
      </c>
    </row>
    <row r="54" spans="1:5">
      <c r="A54" t="s">
        <v>172</v>
      </c>
    </row>
    <row r="55" spans="1:5">
      <c r="A55" t="s">
        <v>173</v>
      </c>
    </row>
    <row r="57" spans="1:5">
      <c r="A57" t="s">
        <v>174</v>
      </c>
    </row>
    <row r="59" spans="1:5">
      <c r="A59" t="s">
        <v>40</v>
      </c>
    </row>
    <row r="60" spans="1:5">
      <c r="A60" s="21" t="s">
        <v>41</v>
      </c>
    </row>
    <row r="61" spans="1:5" s="44" customFormat="1" ht="12.75">
      <c r="A61" s="44" t="s">
        <v>54</v>
      </c>
    </row>
    <row r="62" spans="1:5" s="44" customFormat="1" ht="12.75">
      <c r="A62" s="44" t="s">
        <v>55</v>
      </c>
    </row>
    <row r="63" spans="1:5" s="44" customFormat="1" ht="12.75">
      <c r="A63" s="44" t="s">
        <v>175</v>
      </c>
    </row>
    <row r="64" spans="1:5" s="44" customFormat="1" ht="12.75">
      <c r="A64" s="44" t="s">
        <v>176</v>
      </c>
    </row>
    <row r="66" spans="1:8" ht="15.75">
      <c r="A66" s="22" t="s">
        <v>150</v>
      </c>
    </row>
    <row r="67" spans="1:8">
      <c r="A67" s="230">
        <f ca="1">Application!C4</f>
        <v>43664.703414467593</v>
      </c>
      <c r="B67" s="230"/>
      <c r="C67" s="230"/>
    </row>
    <row r="69" spans="1:8">
      <c r="B69" s="26" t="str">
        <f>B11</f>
        <v>En Chi Liang</v>
      </c>
      <c r="C69" s="26"/>
      <c r="D69" s="26"/>
    </row>
    <row r="70" spans="1:8">
      <c r="B70" s="26" t="str">
        <f>Application!C11</f>
        <v>1F No 6 Lane 20</v>
      </c>
      <c r="C70" s="26"/>
      <c r="D70" s="26"/>
    </row>
    <row r="71" spans="1:8">
      <c r="B71" s="26" t="str">
        <f>Application!C12</f>
        <v>Hsinte Road</v>
      </c>
      <c r="C71" s="26"/>
      <c r="D71" s="26"/>
    </row>
    <row r="72" spans="1:8">
      <c r="B72" s="26" t="str">
        <f>Application!C13</f>
        <v>Taipei 116</v>
      </c>
      <c r="C72" s="26"/>
      <c r="D72" s="26"/>
    </row>
    <row r="73" spans="1:8">
      <c r="B73" s="26" t="str">
        <f>Application!C14</f>
        <v>Taiwan, Province of China</v>
      </c>
      <c r="C73" s="26"/>
      <c r="D73" s="26"/>
    </row>
    <row r="75" spans="1:8" ht="21">
      <c r="C75" s="3" t="s">
        <v>10</v>
      </c>
      <c r="G75" s="25" t="s">
        <v>11</v>
      </c>
      <c r="H75" s="28">
        <f>Application!C16</f>
        <v>99135898</v>
      </c>
    </row>
    <row r="77" spans="1:8">
      <c r="A77" s="17" t="s">
        <v>12</v>
      </c>
      <c r="B77" s="5"/>
      <c r="C77" s="5"/>
      <c r="D77" s="5"/>
      <c r="E77" s="5"/>
      <c r="F77" s="5"/>
      <c r="G77" s="5"/>
      <c r="H77" s="18" t="s">
        <v>13</v>
      </c>
    </row>
    <row r="78" spans="1:8">
      <c r="A78" s="4" t="s">
        <v>177</v>
      </c>
      <c r="B78" s="5"/>
      <c r="C78" s="5"/>
      <c r="D78" s="5"/>
      <c r="E78" s="27">
        <f>Application!C36</f>
        <v>42387</v>
      </c>
      <c r="F78" s="11" t="s">
        <v>14</v>
      </c>
      <c r="G78" s="29" t="e">
        <f>'Dates &amp; Fees'!#REF!</f>
        <v>#REF!</v>
      </c>
      <c r="H78" s="32">
        <f>'Dates &amp; Fees'!G4*Application!C38</f>
        <v>11700</v>
      </c>
    </row>
    <row r="79" spans="1:8">
      <c r="A79" s="12" t="s">
        <v>15</v>
      </c>
      <c r="B79" s="13"/>
      <c r="C79" s="13"/>
      <c r="D79" s="13"/>
      <c r="E79" s="13"/>
      <c r="F79" s="13"/>
      <c r="G79" s="13"/>
      <c r="H79" s="32">
        <f>IF(Application!C38&gt;0, 'Dates &amp; Fees'!G5, 0)</f>
        <v>250</v>
      </c>
    </row>
    <row r="80" spans="1:8">
      <c r="A80" s="12" t="s">
        <v>47</v>
      </c>
      <c r="B80" s="13"/>
      <c r="C80" s="13"/>
      <c r="D80" s="13"/>
      <c r="E80" s="13"/>
      <c r="F80" s="13"/>
      <c r="G80" s="13"/>
      <c r="H80" s="33">
        <f>IF(Application!C41 &gt; 0, 'Dates &amp; Fees'!G9, 0)</f>
        <v>320</v>
      </c>
    </row>
    <row r="81" spans="1:8">
      <c r="A81" s="12" t="s">
        <v>16</v>
      </c>
      <c r="B81" s="13"/>
      <c r="C81" s="13"/>
      <c r="D81" s="13"/>
      <c r="E81" s="13"/>
      <c r="F81" s="31" t="str">
        <f>Application!C41 &amp; " weeks"</f>
        <v>12 weeks</v>
      </c>
      <c r="G81" s="13"/>
      <c r="H81" s="33">
        <f>Application!C41*'Dates &amp; Fees'!G10</f>
        <v>3192</v>
      </c>
    </row>
    <row r="82" spans="1:8">
      <c r="A82" s="9" t="s">
        <v>178</v>
      </c>
      <c r="B82" s="10"/>
      <c r="C82" s="10"/>
      <c r="E82" s="10"/>
      <c r="F82" s="30" t="str">
        <f>Application!C40</f>
        <v>7 months</v>
      </c>
      <c r="H82" s="33">
        <f>VLOOKUP(F82,'Dates &amp; Fees'!B7:D19,2,FALSE)</f>
        <v>28</v>
      </c>
    </row>
    <row r="83" spans="1:8">
      <c r="A83" s="9" t="s">
        <v>17</v>
      </c>
      <c r="B83" s="10"/>
      <c r="C83" s="10"/>
      <c r="D83" s="10"/>
      <c r="E83" s="10"/>
      <c r="F83" s="10"/>
      <c r="G83" s="10"/>
      <c r="H83" s="34">
        <v>30</v>
      </c>
    </row>
    <row r="84" spans="1:8">
      <c r="A84" s="19" t="s">
        <v>18</v>
      </c>
      <c r="B84" s="10"/>
      <c r="C84" s="10"/>
      <c r="D84" s="10"/>
      <c r="E84" s="10"/>
      <c r="F84" s="10"/>
      <c r="G84" s="10"/>
      <c r="H84" s="35">
        <f>SUM(H78:H83)</f>
        <v>15520</v>
      </c>
    </row>
    <row r="85" spans="1:8">
      <c r="A85" s="20" t="s">
        <v>19</v>
      </c>
      <c r="B85" s="10"/>
      <c r="C85" s="10"/>
      <c r="D85" s="10"/>
      <c r="E85" s="10"/>
      <c r="F85" s="10"/>
      <c r="G85" s="10"/>
      <c r="H85" s="14" t="s">
        <v>179</v>
      </c>
    </row>
    <row r="87" spans="1:8" s="108" customFormat="1" ht="12">
      <c r="A87" s="130" t="s">
        <v>210</v>
      </c>
    </row>
    <row r="88" spans="1:8" s="108" customFormat="1" ht="12">
      <c r="A88" s="108" t="s">
        <v>181</v>
      </c>
    </row>
    <row r="89" spans="1:8" s="108" customFormat="1" ht="12">
      <c r="A89" s="108" t="s">
        <v>182</v>
      </c>
    </row>
    <row r="90" spans="1:8" ht="9.9499999999999993" customHeight="1">
      <c r="A90" s="10"/>
      <c r="B90" s="10"/>
      <c r="C90" s="10"/>
      <c r="D90" s="10"/>
      <c r="E90" s="10"/>
      <c r="F90" s="10"/>
      <c r="G90" s="10"/>
      <c r="H90" s="10"/>
    </row>
    <row r="91" spans="1:8" ht="9.9499999999999993" customHeight="1"/>
    <row r="92" spans="1:8">
      <c r="A92" t="s">
        <v>20</v>
      </c>
    </row>
    <row r="94" spans="1:8">
      <c r="A94" t="s">
        <v>21</v>
      </c>
      <c r="E94" t="s">
        <v>180</v>
      </c>
    </row>
    <row r="95" spans="1:8">
      <c r="A95" t="s">
        <v>183</v>
      </c>
      <c r="E95" t="s">
        <v>184</v>
      </c>
    </row>
    <row r="96" spans="1:8">
      <c r="E96" t="s">
        <v>185</v>
      </c>
    </row>
    <row r="97" spans="1:8">
      <c r="E97" t="s">
        <v>186</v>
      </c>
    </row>
    <row r="98" spans="1:8">
      <c r="E98" t="s">
        <v>211</v>
      </c>
    </row>
    <row r="99" spans="1:8">
      <c r="E99" t="s">
        <v>187</v>
      </c>
      <c r="F99" s="26" t="str">
        <f>H75 &amp; " " &amp; B69</f>
        <v>99135898 En Chi Liang</v>
      </c>
      <c r="G99" s="26"/>
    </row>
    <row r="100" spans="1:8">
      <c r="E100" t="s">
        <v>188</v>
      </c>
    </row>
    <row r="101" spans="1:8" ht="9.9499999999999993" customHeight="1"/>
    <row r="102" spans="1:8">
      <c r="A102" t="s">
        <v>22</v>
      </c>
      <c r="D102" t="s">
        <v>189</v>
      </c>
    </row>
    <row r="103" spans="1:8" ht="9.9499999999999993" customHeight="1"/>
    <row r="104" spans="1:8">
      <c r="D104" t="s">
        <v>190</v>
      </c>
    </row>
    <row r="105" spans="1:8">
      <c r="A105" t="s">
        <v>23</v>
      </c>
      <c r="D105" s="4"/>
      <c r="E105" s="5"/>
      <c r="F105" s="5"/>
      <c r="G105" s="5"/>
      <c r="H105" s="6"/>
    </row>
    <row r="106" spans="1:8">
      <c r="D106" s="7" t="s">
        <v>42</v>
      </c>
      <c r="E106" s="8"/>
      <c r="F106" s="10"/>
      <c r="G106" s="10"/>
      <c r="H106" s="16"/>
    </row>
    <row r="107" spans="1:8" ht="9.9499999999999993" customHeight="1">
      <c r="D107" s="7"/>
      <c r="E107" s="8"/>
      <c r="F107" s="8"/>
      <c r="G107" s="8"/>
      <c r="H107" s="15"/>
    </row>
    <row r="108" spans="1:8">
      <c r="D108" s="7" t="s">
        <v>46</v>
      </c>
      <c r="E108" s="8"/>
      <c r="F108" s="10"/>
      <c r="G108" s="10"/>
      <c r="H108" s="16"/>
    </row>
    <row r="109" spans="1:8" ht="9.9499999999999993" customHeight="1">
      <c r="D109" s="7"/>
      <c r="E109" s="8"/>
      <c r="F109" s="8"/>
      <c r="G109" s="8"/>
      <c r="H109" s="15"/>
    </row>
    <row r="110" spans="1:8">
      <c r="D110" s="7" t="s">
        <v>43</v>
      </c>
      <c r="E110" s="8"/>
      <c r="F110" s="10"/>
      <c r="G110" s="10"/>
      <c r="H110" s="16"/>
    </row>
    <row r="111" spans="1:8" ht="9.9499999999999993" customHeight="1">
      <c r="D111" s="7"/>
      <c r="E111" s="8"/>
      <c r="F111" s="8"/>
      <c r="G111" s="8"/>
      <c r="H111" s="15"/>
    </row>
    <row r="112" spans="1:8">
      <c r="D112" s="7" t="s">
        <v>44</v>
      </c>
      <c r="E112" s="8"/>
      <c r="F112" s="10"/>
      <c r="G112" s="10"/>
      <c r="H112" s="16"/>
    </row>
    <row r="113" spans="1:8" ht="9.9499999999999993" customHeight="1">
      <c r="D113" s="7"/>
      <c r="E113" s="8"/>
      <c r="F113" s="8"/>
      <c r="G113" s="8"/>
      <c r="H113" s="15"/>
    </row>
    <row r="114" spans="1:8">
      <c r="D114" s="7" t="s">
        <v>45</v>
      </c>
      <c r="E114" s="8"/>
      <c r="F114" s="8"/>
      <c r="G114" s="8"/>
      <c r="H114" s="15"/>
    </row>
    <row r="115" spans="1:8" ht="9.9499999999999993" customHeight="1">
      <c r="D115" s="9"/>
      <c r="E115" s="10"/>
      <c r="F115" s="10"/>
      <c r="G115" s="10"/>
      <c r="H115" s="16"/>
    </row>
    <row r="117" spans="1:8">
      <c r="A117" t="s">
        <v>191</v>
      </c>
    </row>
    <row r="118" spans="1:8">
      <c r="A118" t="s">
        <v>192</v>
      </c>
    </row>
    <row r="119" spans="1:8">
      <c r="A119" t="s">
        <v>193</v>
      </c>
    </row>
  </sheetData>
  <sheetProtection algorithmName="SHA-512" hashValue="qERmgLHADg9VUHkhrLzA6xva6KJXWb0B32fINlvIhEjeH/eVqXoIiBipchY9vWrq1wSjOUrKnDwEThVk07gvkQ==" saltValue="wExXIwQJ6aI+iZIZaSzfsQ==" spinCount="100000" sheet="1" objects="1" scenarios="1" selectLockedCells="1" selectUnlockedCells="1"/>
  <mergeCells count="2">
    <mergeCell ref="A9:C9"/>
    <mergeCell ref="A67:C67"/>
  </mergeCells>
  <pageMargins left="0.59055118110236227" right="0.39370078740157483" top="0.39370078740157483"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election activeCell="R23" sqref="R23"/>
    </sheetView>
  </sheetViews>
  <sheetFormatPr defaultRowHeight="15"/>
  <cols>
    <col min="1" max="1" width="0.140625" style="231" customWidth="1"/>
    <col min="2" max="2" width="23.5703125" style="231" customWidth="1"/>
    <col min="3" max="4" width="1" style="231" customWidth="1"/>
    <col min="5" max="5" width="37.85546875" style="231" customWidth="1"/>
    <col min="6" max="6" width="0.140625" style="231" customWidth="1"/>
    <col min="7" max="8" width="1.85546875" style="231" customWidth="1"/>
    <col min="9" max="9" width="8" style="231" customWidth="1"/>
    <col min="10" max="10" width="0.7109375" style="231" customWidth="1"/>
    <col min="11" max="11" width="15" style="231" customWidth="1"/>
    <col min="12" max="12" width="0" style="231" hidden="1" customWidth="1"/>
    <col min="13" max="13" width="0.28515625" style="231" customWidth="1"/>
    <col min="14" max="14" width="0" style="231" hidden="1" customWidth="1"/>
    <col min="15" max="15" width="0.140625" style="231" customWidth="1"/>
    <col min="16" max="16384" width="9.140625" style="231"/>
  </cols>
  <sheetData>
    <row r="1" spans="1:13">
      <c r="B1" s="232" t="s">
        <v>646</v>
      </c>
      <c r="C1" s="233"/>
      <c r="D1" s="233"/>
      <c r="E1" s="233"/>
      <c r="F1" s="233"/>
    </row>
    <row r="2" spans="1:13" ht="108.6" customHeight="1">
      <c r="B2" s="233"/>
      <c r="C2" s="233"/>
      <c r="D2" s="233"/>
      <c r="E2" s="233"/>
      <c r="F2" s="233"/>
      <c r="K2" s="233"/>
      <c r="L2" s="233"/>
      <c r="M2" s="233"/>
    </row>
    <row r="3" spans="1:13" ht="10.9" customHeight="1">
      <c r="A3" s="234" t="s">
        <v>647</v>
      </c>
      <c r="B3" s="233"/>
      <c r="C3" s="233"/>
      <c r="D3" s="233"/>
      <c r="E3" s="233"/>
      <c r="K3" s="233"/>
      <c r="L3" s="233"/>
      <c r="M3" s="233"/>
    </row>
    <row r="4" spans="1:13">
      <c r="A4" s="233"/>
      <c r="B4" s="233"/>
      <c r="C4" s="233"/>
      <c r="D4" s="233"/>
      <c r="E4" s="233"/>
    </row>
    <row r="5" spans="1:13" ht="3" customHeight="1"/>
    <row r="6" spans="1:13" ht="11.65" customHeight="1"/>
    <row r="7" spans="1:13">
      <c r="E7" s="235" t="s">
        <v>10</v>
      </c>
      <c r="F7" s="233"/>
      <c r="G7" s="233"/>
    </row>
    <row r="8" spans="1:13">
      <c r="E8" s="233"/>
      <c r="F8" s="233"/>
      <c r="G8" s="233"/>
      <c r="I8" s="236" t="s">
        <v>648</v>
      </c>
      <c r="J8" s="233"/>
      <c r="K8" s="233"/>
    </row>
    <row r="9" spans="1:13" ht="7.7" customHeight="1"/>
    <row r="10" spans="1:13" ht="16.899999999999999" customHeight="1">
      <c r="A10" s="237" t="s">
        <v>12</v>
      </c>
      <c r="B10" s="238"/>
      <c r="C10" s="238"/>
      <c r="D10" s="238"/>
      <c r="E10" s="238"/>
      <c r="F10" s="238"/>
      <c r="G10" s="238"/>
      <c r="H10" s="238"/>
      <c r="I10" s="239"/>
      <c r="J10" s="237" t="s">
        <v>649</v>
      </c>
      <c r="K10" s="239"/>
    </row>
    <row r="11" spans="1:13" ht="16.899999999999999" customHeight="1">
      <c r="A11" s="240" t="s">
        <v>650</v>
      </c>
      <c r="B11" s="238"/>
      <c r="C11" s="238"/>
      <c r="D11" s="238"/>
      <c r="E11" s="238"/>
      <c r="F11" s="238"/>
      <c r="G11" s="238"/>
      <c r="H11" s="238"/>
      <c r="I11" s="239"/>
      <c r="J11" s="241">
        <v>6240</v>
      </c>
      <c r="K11" s="239"/>
    </row>
    <row r="12" spans="1:13" ht="17.100000000000001" customHeight="1">
      <c r="A12" s="240" t="s">
        <v>651</v>
      </c>
      <c r="B12" s="238"/>
      <c r="C12" s="238"/>
      <c r="D12" s="238"/>
      <c r="E12" s="238"/>
      <c r="F12" s="238"/>
      <c r="G12" s="238"/>
      <c r="H12" s="238"/>
      <c r="I12" s="239"/>
      <c r="J12" s="242">
        <v>96</v>
      </c>
      <c r="K12" s="239"/>
    </row>
    <row r="13" spans="1:13" ht="16.899999999999999" customHeight="1">
      <c r="A13" s="240" t="s">
        <v>652</v>
      </c>
      <c r="B13" s="238"/>
      <c r="C13" s="238"/>
      <c r="D13" s="238"/>
      <c r="E13" s="238"/>
      <c r="F13" s="238"/>
      <c r="G13" s="238"/>
      <c r="H13" s="238"/>
      <c r="I13" s="239"/>
      <c r="J13" s="241">
        <v>4680</v>
      </c>
      <c r="K13" s="239"/>
    </row>
    <row r="14" spans="1:13" ht="17.100000000000001" customHeight="1">
      <c r="A14" s="240" t="s">
        <v>653</v>
      </c>
      <c r="B14" s="238"/>
      <c r="C14" s="238"/>
      <c r="D14" s="238"/>
      <c r="E14" s="238"/>
      <c r="F14" s="238"/>
      <c r="G14" s="238"/>
      <c r="H14" s="238"/>
      <c r="I14" s="239"/>
      <c r="J14" s="242">
        <v>300</v>
      </c>
      <c r="K14" s="239"/>
    </row>
    <row r="15" spans="1:13" ht="17.100000000000001" customHeight="1">
      <c r="A15" s="240" t="s">
        <v>178</v>
      </c>
      <c r="B15" s="238"/>
      <c r="C15" s="238"/>
      <c r="D15" s="238"/>
      <c r="E15" s="238"/>
      <c r="F15" s="238"/>
      <c r="G15" s="238"/>
      <c r="H15" s="238"/>
      <c r="I15" s="239"/>
      <c r="J15" s="242">
        <v>209.6</v>
      </c>
      <c r="K15" s="239"/>
    </row>
    <row r="16" spans="1:13" ht="17.100000000000001" customHeight="1">
      <c r="A16" s="240" t="s">
        <v>15</v>
      </c>
      <c r="B16" s="238"/>
      <c r="C16" s="238"/>
      <c r="D16" s="238"/>
      <c r="E16" s="238"/>
      <c r="F16" s="238"/>
      <c r="G16" s="238"/>
      <c r="H16" s="238"/>
      <c r="I16" s="239"/>
      <c r="J16" s="242">
        <v>250</v>
      </c>
      <c r="K16" s="239"/>
    </row>
    <row r="17" spans="1:11" ht="17.100000000000001" customHeight="1">
      <c r="A17" s="240" t="s">
        <v>654</v>
      </c>
      <c r="B17" s="238"/>
      <c r="C17" s="238"/>
      <c r="D17" s="238"/>
      <c r="E17" s="238"/>
      <c r="F17" s="238"/>
      <c r="G17" s="238"/>
      <c r="H17" s="238"/>
      <c r="I17" s="239"/>
      <c r="J17" s="242">
        <v>30</v>
      </c>
      <c r="K17" s="239"/>
    </row>
    <row r="18" spans="1:11" ht="16.899999999999999" customHeight="1">
      <c r="A18" s="237" t="s">
        <v>18</v>
      </c>
      <c r="B18" s="238"/>
      <c r="C18" s="238"/>
      <c r="D18" s="238"/>
      <c r="E18" s="238"/>
      <c r="F18" s="238"/>
      <c r="G18" s="238"/>
      <c r="H18" s="238"/>
      <c r="I18" s="239"/>
      <c r="J18" s="243">
        <v>11805.6</v>
      </c>
      <c r="K18" s="239"/>
    </row>
    <row r="19" spans="1:11" ht="19.149999999999999" customHeight="1">
      <c r="A19" s="237" t="s">
        <v>19</v>
      </c>
      <c r="B19" s="238"/>
      <c r="C19" s="238"/>
      <c r="D19" s="238"/>
      <c r="E19" s="238"/>
      <c r="F19" s="238"/>
      <c r="G19" s="238"/>
      <c r="H19" s="238"/>
      <c r="I19" s="239"/>
      <c r="J19" s="244" t="s">
        <v>179</v>
      </c>
      <c r="K19" s="239"/>
    </row>
    <row r="20" spans="1:11" ht="0" hidden="1" customHeight="1"/>
    <row r="21" spans="1:11" ht="78" customHeight="1">
      <c r="A21" s="245" t="s">
        <v>655</v>
      </c>
      <c r="B21" s="246"/>
      <c r="C21" s="246"/>
      <c r="D21" s="246"/>
      <c r="E21" s="246"/>
      <c r="F21" s="246"/>
      <c r="G21" s="246"/>
      <c r="H21" s="246"/>
      <c r="I21" s="246"/>
      <c r="J21" s="246"/>
      <c r="K21" s="246"/>
    </row>
    <row r="22" spans="1:11" ht="3" customHeight="1"/>
    <row r="23" spans="1:11" ht="140.85" customHeight="1">
      <c r="A23" s="247" t="s">
        <v>656</v>
      </c>
      <c r="B23" s="233"/>
      <c r="D23" s="248" t="s">
        <v>657</v>
      </c>
      <c r="E23" s="233"/>
      <c r="F23" s="233"/>
      <c r="G23" s="233"/>
      <c r="H23" s="233"/>
      <c r="I23" s="233"/>
      <c r="J23" s="233"/>
      <c r="K23" s="233"/>
    </row>
    <row r="24" spans="1:11" ht="3" customHeight="1"/>
    <row r="25" spans="1:11" ht="111.95" customHeight="1">
      <c r="A25" s="249" t="s">
        <v>658</v>
      </c>
      <c r="B25" s="238"/>
      <c r="C25" s="238"/>
      <c r="D25" s="238"/>
      <c r="E25" s="238"/>
      <c r="F25" s="238"/>
      <c r="G25" s="238"/>
      <c r="H25" s="238"/>
      <c r="I25" s="238"/>
      <c r="J25" s="238"/>
      <c r="K25" s="239"/>
    </row>
    <row r="26" spans="1:11" ht="2.1" customHeight="1"/>
    <row r="27" spans="1:11" ht="65.099999999999994" customHeight="1">
      <c r="A27" s="250" t="s">
        <v>659</v>
      </c>
      <c r="B27" s="233"/>
      <c r="C27" s="233"/>
      <c r="D27" s="233"/>
      <c r="E27" s="233"/>
      <c r="F27" s="233"/>
      <c r="G27" s="233"/>
      <c r="H27" s="233"/>
      <c r="I27" s="233"/>
      <c r="J27" s="233"/>
      <c r="K27" s="233"/>
    </row>
    <row r="28" spans="1:11" ht="2.85" customHeight="1"/>
  </sheetData>
  <mergeCells count="30">
    <mergeCell ref="A21:K21"/>
    <mergeCell ref="A23:B23"/>
    <mergeCell ref="D23:K23"/>
    <mergeCell ref="A25:K25"/>
    <mergeCell ref="A27:K27"/>
    <mergeCell ref="A17:I17"/>
    <mergeCell ref="J17:K17"/>
    <mergeCell ref="A18:I18"/>
    <mergeCell ref="J18:K18"/>
    <mergeCell ref="A19:I19"/>
    <mergeCell ref="J19:K19"/>
    <mergeCell ref="A14:I14"/>
    <mergeCell ref="J14:K14"/>
    <mergeCell ref="A15:I15"/>
    <mergeCell ref="J15:K15"/>
    <mergeCell ref="A16:I16"/>
    <mergeCell ref="J16:K16"/>
    <mergeCell ref="A11:I11"/>
    <mergeCell ref="J11:K11"/>
    <mergeCell ref="A12:I12"/>
    <mergeCell ref="J12:K12"/>
    <mergeCell ref="A13:I13"/>
    <mergeCell ref="J13:K13"/>
    <mergeCell ref="B1:F2"/>
    <mergeCell ref="K2:M3"/>
    <mergeCell ref="A3:E4"/>
    <mergeCell ref="E7:G8"/>
    <mergeCell ref="I8:K8"/>
    <mergeCell ref="A10:I10"/>
    <mergeCell ref="J10:K10"/>
  </mergeCells>
  <hyperlinks>
    <hyperlink ref="A27" r:id="rId1"/>
  </hyperlinks>
  <pageMargins left="0.78740157480314998" right="0.78740157480314998" top="0.39370078740157499" bottom="0.66464173228346501" header="0.39370078740157499" footer="0.39370078740157499"/>
  <pageSetup paperSize="9" orientation="portrait" horizontalDpi="300" verticalDpi="300"/>
  <headerFooter alignWithMargins="0">
    <oddFooter>&amp;R&amp;"Arial"&amp;9&amp;P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Languages</vt:lpstr>
      <vt:lpstr>Dates &amp; Fees</vt:lpstr>
      <vt:lpstr>Calc Sheet</vt:lpstr>
      <vt:lpstr>Choose Start Date &amp; Duration</vt:lpstr>
      <vt:lpstr>Cost Estimate</vt:lpstr>
      <vt:lpstr>Application</vt:lpstr>
      <vt:lpstr>Application Form</vt:lpstr>
      <vt:lpstr>Offer of Place &amp; Fee Statement</vt:lpstr>
      <vt:lpstr>Statement of Fees</vt:lpstr>
      <vt:lpstr>(OLD) Statement of Fees</vt:lpstr>
      <vt:lpstr>Changes</vt:lpstr>
      <vt:lpstr>Bank_fee</vt:lpstr>
      <vt:lpstr>Duration</vt:lpstr>
      <vt:lpstr>Expires</vt:lpstr>
      <vt:lpstr>Homestay_days</vt:lpstr>
      <vt:lpstr>Homestay_pw_Chch_2</vt:lpstr>
      <vt:lpstr>Homestay_pw_Chch_3</vt:lpstr>
      <vt:lpstr>Homestay_pw_Short_2</vt:lpstr>
      <vt:lpstr>Homestay_pw_Short_3</vt:lpstr>
      <vt:lpstr>Homestay_pw_Timaru_2</vt:lpstr>
      <vt:lpstr>Homestay_pw_Timaru_3</vt:lpstr>
      <vt:lpstr>Homestay_weeks</vt:lpstr>
      <vt:lpstr>Insurance_fee</vt:lpstr>
      <vt:lpstr>Location</vt:lpstr>
      <vt:lpstr>Meals</vt:lpstr>
      <vt:lpstr>NZCEL</vt:lpstr>
      <vt:lpstr>NZCEL_fee</vt:lpstr>
      <vt:lpstr>Registration_fee</vt:lpstr>
      <vt:lpstr>Selected_insurance</vt:lpstr>
      <vt:lpstr>SSL</vt:lpstr>
      <vt:lpstr>Three_meals_requested</vt:lpstr>
      <vt:lpstr>Tuition_fee</vt:lpstr>
      <vt:lpstr>Weekly_insurance</vt:lpstr>
    </vt:vector>
  </TitlesOfParts>
  <Company>Christchurch Polytechnic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Hayashi</dc:creator>
  <cp:lastModifiedBy>Tim Hayashi</cp:lastModifiedBy>
  <cp:lastPrinted>2017-07-02T04:55:34Z</cp:lastPrinted>
  <dcterms:created xsi:type="dcterms:W3CDTF">2015-08-03T11:57:10Z</dcterms:created>
  <dcterms:modified xsi:type="dcterms:W3CDTF">2019-07-18T04:53:18Z</dcterms:modified>
</cp:coreProperties>
</file>